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7230" tabRatio="951" firstSheet="4" activeTab="9"/>
  </bookViews>
  <sheets>
    <sheet name="Trial Balance" sheetId="1" r:id="rId1"/>
    <sheet name="Sales Summary" sheetId="2" r:id="rId2"/>
    <sheet name="P&amp;L Acct" sheetId="3" r:id="rId3"/>
    <sheet name="Notes" sheetId="4" r:id="rId4"/>
    <sheet name="Balance Sheet" sheetId="6" r:id="rId5"/>
    <sheet name="cashflow Stmt" sheetId="7" r:id="rId6"/>
    <sheet name="Value Added Stmt" sheetId="8" r:id="rId7"/>
    <sheet name="Computation of Tax" sheetId="9" r:id="rId8"/>
    <sheet name="Audit Journal" sheetId="11" r:id="rId9"/>
    <sheet name="Extended TB" sheetId="12" r:id="rId10"/>
    <sheet name="Salaries analysis" sheetId="13" r:id="rId11"/>
    <sheet name="Capital all comp" sheetId="14" r:id="rId12"/>
    <sheet name="Bank deposit" sheetId="15" r:id="rId13"/>
    <sheet name="Bank withdrawals" sheetId="16" r:id="rId14"/>
  </sheets>
  <calcPr calcId="124519"/>
</workbook>
</file>

<file path=xl/calcChain.xml><?xml version="1.0" encoding="utf-8"?>
<calcChain xmlns="http://schemas.openxmlformats.org/spreadsheetml/2006/main">
  <c r="E23" i="12"/>
  <c r="F18"/>
  <c r="F17"/>
  <c r="F16"/>
  <c r="F15"/>
  <c r="J34"/>
  <c r="F34"/>
  <c r="I64"/>
  <c r="E67"/>
  <c r="E80"/>
  <c r="E63"/>
  <c r="L30" i="11"/>
  <c r="E665" i="16"/>
  <c r="G185" i="11"/>
  <c r="G181"/>
  <c r="G172"/>
  <c r="H157"/>
  <c r="G150"/>
  <c r="G145"/>
  <c r="G141"/>
  <c r="G121"/>
  <c r="G107"/>
  <c r="G103"/>
  <c r="G93"/>
  <c r="G80"/>
  <c r="G70"/>
  <c r="L663" i="16"/>
  <c r="P663"/>
  <c r="O663"/>
  <c r="N663"/>
  <c r="M663"/>
  <c r="Q662"/>
  <c r="Q661"/>
  <c r="Q660"/>
  <c r="Q659"/>
  <c r="Q658"/>
  <c r="Q657"/>
  <c r="Q656"/>
  <c r="Q655"/>
  <c r="Q654"/>
  <c r="Q653"/>
  <c r="Q652"/>
  <c r="Q651"/>
  <c r="Q650"/>
  <c r="Q649"/>
  <c r="Q648"/>
  <c r="Q647"/>
  <c r="Q646"/>
  <c r="Q645"/>
  <c r="Q644"/>
  <c r="Q643"/>
  <c r="Q642"/>
  <c r="Q641"/>
  <c r="Q640"/>
  <c r="Q639"/>
  <c r="Q638"/>
  <c r="Q637"/>
  <c r="Q636"/>
  <c r="Q635"/>
  <c r="Q634"/>
  <c r="Q633"/>
  <c r="J633"/>
  <c r="J634" s="1"/>
  <c r="J635" s="1"/>
  <c r="J636" s="1"/>
  <c r="J637" s="1"/>
  <c r="J638" s="1"/>
  <c r="J639" s="1"/>
  <c r="J640" s="1"/>
  <c r="J641" s="1"/>
  <c r="J642" s="1"/>
  <c r="J643" s="1"/>
  <c r="J644" s="1"/>
  <c r="J645" s="1"/>
  <c r="J646" s="1"/>
  <c r="J647" s="1"/>
  <c r="J648" s="1"/>
  <c r="J649" s="1"/>
  <c r="J650" s="1"/>
  <c r="J651" s="1"/>
  <c r="J652" s="1"/>
  <c r="J653" s="1"/>
  <c r="J654" s="1"/>
  <c r="J655" s="1"/>
  <c r="J656" s="1"/>
  <c r="J657" s="1"/>
  <c r="J658" s="1"/>
  <c r="J659" s="1"/>
  <c r="J660" s="1"/>
  <c r="J661" s="1"/>
  <c r="J662" s="1"/>
  <c r="Q632"/>
  <c r="E33" i="1"/>
  <c r="I18" i="4"/>
  <c r="I84" i="12"/>
  <c r="M84" s="1"/>
  <c r="E70"/>
  <c r="I63"/>
  <c r="I26"/>
  <c r="I27"/>
  <c r="I25"/>
  <c r="E36" i="15"/>
  <c r="D36"/>
  <c r="C36"/>
  <c r="B36"/>
  <c r="H633" i="16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32"/>
  <c r="D663"/>
  <c r="E663"/>
  <c r="F663"/>
  <c r="G663"/>
  <c r="C663"/>
  <c r="A660"/>
  <c r="A661"/>
  <c r="A662"/>
  <c r="A659"/>
  <c r="A656"/>
  <c r="A657" s="1"/>
  <c r="A658" s="1"/>
  <c r="A634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33"/>
  <c r="Q663" l="1"/>
  <c r="H663"/>
  <c r="AA628" l="1"/>
  <c r="J628"/>
  <c r="Z626"/>
  <c r="Z628" s="1"/>
  <c r="AA626"/>
  <c r="S626"/>
  <c r="S628" s="1"/>
  <c r="T626"/>
  <c r="U626"/>
  <c r="U628" s="1"/>
  <c r="V626"/>
  <c r="V628" s="1"/>
  <c r="W626"/>
  <c r="W628" s="1"/>
  <c r="X626"/>
  <c r="Y626"/>
  <c r="Y628" s="1"/>
  <c r="M626"/>
  <c r="M628" s="1"/>
  <c r="N626"/>
  <c r="N628" s="1"/>
  <c r="O626"/>
  <c r="O628" s="1"/>
  <c r="P626"/>
  <c r="P628" s="1"/>
  <c r="Q626"/>
  <c r="Q628" s="1"/>
  <c r="R626"/>
  <c r="R628" s="1"/>
  <c r="D626"/>
  <c r="D628" s="1"/>
  <c r="E626"/>
  <c r="E628" s="1"/>
  <c r="F626"/>
  <c r="G626"/>
  <c r="G628" s="1"/>
  <c r="H626"/>
  <c r="H628" s="1"/>
  <c r="I626"/>
  <c r="I628" s="1"/>
  <c r="J626"/>
  <c r="K626"/>
  <c r="K628" s="1"/>
  <c r="L626"/>
  <c r="L628" s="1"/>
  <c r="C626"/>
  <c r="C628" s="1"/>
  <c r="AB481"/>
  <c r="AB482"/>
  <c r="AB483"/>
  <c r="AB484"/>
  <c r="AB485"/>
  <c r="AB486"/>
  <c r="AB487"/>
  <c r="AB488"/>
  <c r="AB489"/>
  <c r="AB490"/>
  <c r="AB491"/>
  <c r="AB492"/>
  <c r="AB493"/>
  <c r="AB494"/>
  <c r="AB495"/>
  <c r="AB496"/>
  <c r="AB497"/>
  <c r="AB498"/>
  <c r="AB499"/>
  <c r="AB500"/>
  <c r="AB501"/>
  <c r="AB502"/>
  <c r="AB503"/>
  <c r="AB504"/>
  <c r="AB505"/>
  <c r="AB506"/>
  <c r="AB507"/>
  <c r="AB508"/>
  <c r="AB509"/>
  <c r="AB510"/>
  <c r="AB511"/>
  <c r="AB512"/>
  <c r="AB513"/>
  <c r="AB514"/>
  <c r="AB515"/>
  <c r="AB516"/>
  <c r="AB517"/>
  <c r="AB518"/>
  <c r="AB519"/>
  <c r="AB520"/>
  <c r="AB521"/>
  <c r="AB522"/>
  <c r="AB523"/>
  <c r="AB524"/>
  <c r="AB525"/>
  <c r="AB526"/>
  <c r="AB527"/>
  <c r="AB528"/>
  <c r="AB529"/>
  <c r="AB530"/>
  <c r="AB531"/>
  <c r="AB532"/>
  <c r="AB533"/>
  <c r="AB534"/>
  <c r="AB535"/>
  <c r="AB536"/>
  <c r="AB537"/>
  <c r="AB538"/>
  <c r="AB539"/>
  <c r="AB540"/>
  <c r="AB541"/>
  <c r="AB542"/>
  <c r="AB543"/>
  <c r="AB544"/>
  <c r="AB545"/>
  <c r="AB546"/>
  <c r="AB547"/>
  <c r="AB548"/>
  <c r="AB549"/>
  <c r="AB550"/>
  <c r="AB551"/>
  <c r="AB552"/>
  <c r="AB553"/>
  <c r="AB554"/>
  <c r="AB555"/>
  <c r="AB556"/>
  <c r="AB557"/>
  <c r="AB558"/>
  <c r="AB559"/>
  <c r="AB560"/>
  <c r="AB561"/>
  <c r="AB562"/>
  <c r="AB563"/>
  <c r="AB564"/>
  <c r="AB565"/>
  <c r="AB566"/>
  <c r="AB567"/>
  <c r="AB568"/>
  <c r="AB569"/>
  <c r="AB570"/>
  <c r="AB571"/>
  <c r="AB572"/>
  <c r="AB573"/>
  <c r="AB574"/>
  <c r="AB575"/>
  <c r="AB576"/>
  <c r="AB577"/>
  <c r="AB578"/>
  <c r="AB579"/>
  <c r="AB580"/>
  <c r="AB581"/>
  <c r="AB582"/>
  <c r="AB583"/>
  <c r="AB584"/>
  <c r="AB585"/>
  <c r="AB586"/>
  <c r="AB587"/>
  <c r="AB588"/>
  <c r="AB589"/>
  <c r="AB590"/>
  <c r="AB591"/>
  <c r="AB592"/>
  <c r="AB593"/>
  <c r="AB594"/>
  <c r="AB595"/>
  <c r="AB596"/>
  <c r="AB597"/>
  <c r="AB598"/>
  <c r="AB599"/>
  <c r="AB600"/>
  <c r="AB601"/>
  <c r="AB602"/>
  <c r="AB603"/>
  <c r="AB604"/>
  <c r="AB605"/>
  <c r="AB606"/>
  <c r="AB607"/>
  <c r="AB608"/>
  <c r="AB609"/>
  <c r="AB610"/>
  <c r="AB611"/>
  <c r="AB612"/>
  <c r="AB613"/>
  <c r="AB614"/>
  <c r="AB615"/>
  <c r="AB616"/>
  <c r="AB617"/>
  <c r="AB618"/>
  <c r="AB619"/>
  <c r="AB620"/>
  <c r="AB621"/>
  <c r="AB622"/>
  <c r="AB623"/>
  <c r="AB624"/>
  <c r="AB625"/>
  <c r="AB627"/>
  <c r="AB476"/>
  <c r="AB477"/>
  <c r="AB478"/>
  <c r="AB479"/>
  <c r="AB480"/>
  <c r="D474"/>
  <c r="E474"/>
  <c r="F474"/>
  <c r="G474"/>
  <c r="H474"/>
  <c r="I474"/>
  <c r="J474"/>
  <c r="K474"/>
  <c r="L474"/>
  <c r="M474"/>
  <c r="N474"/>
  <c r="O474"/>
  <c r="P474"/>
  <c r="Q474"/>
  <c r="R474"/>
  <c r="S474"/>
  <c r="T474"/>
  <c r="T628" s="1"/>
  <c r="U474"/>
  <c r="V474"/>
  <c r="W474"/>
  <c r="X474"/>
  <c r="X628" s="1"/>
  <c r="Y474"/>
  <c r="Z474"/>
  <c r="AA474"/>
  <c r="C474"/>
  <c r="AB445"/>
  <c r="AB446"/>
  <c r="AB447"/>
  <c r="AB448"/>
  <c r="AB449"/>
  <c r="AB450"/>
  <c r="AB451"/>
  <c r="AB452"/>
  <c r="AB453"/>
  <c r="AB454"/>
  <c r="AB455"/>
  <c r="AB456"/>
  <c r="AB457"/>
  <c r="AB458"/>
  <c r="AB459"/>
  <c r="AB460"/>
  <c r="AB461"/>
  <c r="AB462"/>
  <c r="AB463"/>
  <c r="AB464"/>
  <c r="AB465"/>
  <c r="AB466"/>
  <c r="AB467"/>
  <c r="AB468"/>
  <c r="AB469"/>
  <c r="AB470"/>
  <c r="AB471"/>
  <c r="AB472"/>
  <c r="AB473"/>
  <c r="AB417"/>
  <c r="AB418"/>
  <c r="AB419"/>
  <c r="AB420"/>
  <c r="AB421"/>
  <c r="AB422"/>
  <c r="AB423"/>
  <c r="AB424"/>
  <c r="AB425"/>
  <c r="AB426"/>
  <c r="AB427"/>
  <c r="AB428"/>
  <c r="AB429"/>
  <c r="AB430"/>
  <c r="AB431"/>
  <c r="AB432"/>
  <c r="AB433"/>
  <c r="AB434"/>
  <c r="AB435"/>
  <c r="AB436"/>
  <c r="AB437"/>
  <c r="AB438"/>
  <c r="AB439"/>
  <c r="AB440"/>
  <c r="AB441"/>
  <c r="AB442"/>
  <c r="AB443"/>
  <c r="AB444"/>
  <c r="G151" i="15"/>
  <c r="C4" s="1"/>
  <c r="H151"/>
  <c r="C5" s="1"/>
  <c r="I151"/>
  <c r="C6" s="1"/>
  <c r="J151"/>
  <c r="C7" s="1"/>
  <c r="K151"/>
  <c r="C8" s="1"/>
  <c r="L213"/>
  <c r="C9" s="1"/>
  <c r="M132"/>
  <c r="C10" s="1"/>
  <c r="N137"/>
  <c r="C11" s="1"/>
  <c r="O67"/>
  <c r="C12" s="1"/>
  <c r="P51"/>
  <c r="C13" s="1"/>
  <c r="D390" i="16"/>
  <c r="E390"/>
  <c r="F390"/>
  <c r="G390"/>
  <c r="H390"/>
  <c r="I390"/>
  <c r="J390"/>
  <c r="L390"/>
  <c r="M390"/>
  <c r="N390"/>
  <c r="O390"/>
  <c r="P390"/>
  <c r="Q390"/>
  <c r="R390"/>
  <c r="S390"/>
  <c r="T390"/>
  <c r="U390"/>
  <c r="V390"/>
  <c r="W390"/>
  <c r="X390"/>
  <c r="Y390"/>
  <c r="Z390"/>
  <c r="AA390"/>
  <c r="C390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AB367"/>
  <c r="AB368"/>
  <c r="AB369"/>
  <c r="AB370"/>
  <c r="AB371"/>
  <c r="AB372"/>
  <c r="AB373"/>
  <c r="AB374"/>
  <c r="AB375"/>
  <c r="AB376"/>
  <c r="AB377"/>
  <c r="AB378"/>
  <c r="AB379"/>
  <c r="AB380"/>
  <c r="AB381"/>
  <c r="AB382"/>
  <c r="AB383"/>
  <c r="AB384"/>
  <c r="AB385"/>
  <c r="AB386"/>
  <c r="AB387"/>
  <c r="AB388"/>
  <c r="AB389"/>
  <c r="AB394"/>
  <c r="AB395"/>
  <c r="AB396"/>
  <c r="AB397"/>
  <c r="AB398"/>
  <c r="AB399"/>
  <c r="AB400"/>
  <c r="AB401"/>
  <c r="AB402"/>
  <c r="AB403"/>
  <c r="AB404"/>
  <c r="AB405"/>
  <c r="AB406"/>
  <c r="AB407"/>
  <c r="AB408"/>
  <c r="AB409"/>
  <c r="AB410"/>
  <c r="AB411"/>
  <c r="AB412"/>
  <c r="AB413"/>
  <c r="AB414"/>
  <c r="AB415"/>
  <c r="AB416"/>
  <c r="AB243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47"/>
  <c r="Z45"/>
  <c r="F45"/>
  <c r="F628" s="1"/>
  <c r="H45"/>
  <c r="L45"/>
  <c r="M45"/>
  <c r="N45"/>
  <c r="O45"/>
  <c r="P45"/>
  <c r="Q45"/>
  <c r="R45"/>
  <c r="T45"/>
  <c r="U45"/>
  <c r="W45"/>
  <c r="X45"/>
  <c r="C45"/>
  <c r="AB3"/>
  <c r="C34" i="15"/>
  <c r="D34"/>
  <c r="E34"/>
  <c r="B34"/>
  <c r="AL57"/>
  <c r="AK52"/>
  <c r="AJ34"/>
  <c r="AI21"/>
  <c r="AH42"/>
  <c r="AG41"/>
  <c r="AF59"/>
  <c r="AE88"/>
  <c r="AD49"/>
  <c r="AC106"/>
  <c r="AB39"/>
  <c r="Z105"/>
  <c r="D15" s="1"/>
  <c r="Y100"/>
  <c r="D14" s="1"/>
  <c r="X89"/>
  <c r="D13" s="1"/>
  <c r="W94"/>
  <c r="D12" s="1"/>
  <c r="V50"/>
  <c r="D11" s="1"/>
  <c r="U35"/>
  <c r="D10" s="1"/>
  <c r="T10"/>
  <c r="D9" s="1"/>
  <c r="R65"/>
  <c r="C15" s="1"/>
  <c r="Q55"/>
  <c r="C14" s="1"/>
  <c r="B15"/>
  <c r="B14"/>
  <c r="B13"/>
  <c r="B12"/>
  <c r="B11"/>
  <c r="B10"/>
  <c r="B9"/>
  <c r="B4"/>
  <c r="E16"/>
  <c r="K24" i="12"/>
  <c r="I51" i="14"/>
  <c r="I39"/>
  <c r="F63" s="1"/>
  <c r="I26"/>
  <c r="G61"/>
  <c r="I12"/>
  <c r="AB628" i="16" l="1"/>
  <c r="AB626"/>
  <c r="AB474"/>
  <c r="C16" i="15"/>
  <c r="D16"/>
  <c r="AB390" i="16"/>
  <c r="AB45"/>
  <c r="B16" i="15"/>
  <c r="G62" i="14"/>
  <c r="H62" s="1"/>
  <c r="I30"/>
  <c r="I32" s="1"/>
  <c r="I62" s="1"/>
  <c r="I44"/>
  <c r="I45" s="1"/>
  <c r="I63" s="1"/>
  <c r="H61"/>
  <c r="G63"/>
  <c r="H63" s="1"/>
  <c r="I17"/>
  <c r="I19" s="1"/>
  <c r="I61" s="1"/>
  <c r="C18" i="15" l="1"/>
  <c r="F64" i="14"/>
  <c r="G64"/>
  <c r="G66" s="1"/>
  <c r="F66" l="1"/>
  <c r="H64"/>
  <c r="H66" s="1"/>
  <c r="I55"/>
  <c r="I57" s="1"/>
  <c r="I64" s="1"/>
  <c r="I66" s="1"/>
  <c r="J33" i="12" l="1"/>
  <c r="J38"/>
  <c r="J39"/>
  <c r="J37"/>
  <c r="I30" l="1"/>
  <c r="H88"/>
  <c r="G88"/>
  <c r="I85"/>
  <c r="E20" i="13"/>
  <c r="F20"/>
  <c r="G20"/>
  <c r="H20"/>
  <c r="I20"/>
  <c r="J20"/>
  <c r="K20"/>
  <c r="L20"/>
  <c r="M20"/>
  <c r="N20"/>
  <c r="O20"/>
  <c r="D20"/>
  <c r="P5"/>
  <c r="A6"/>
  <c r="P6"/>
  <c r="A7"/>
  <c r="A8" s="1"/>
  <c r="A9" s="1"/>
  <c r="A10" s="1"/>
  <c r="A11" s="1"/>
  <c r="A12" s="1"/>
  <c r="A13" s="1"/>
  <c r="A14" s="1"/>
  <c r="A15" s="1"/>
  <c r="A16" s="1"/>
  <c r="A17" s="1"/>
  <c r="A18" s="1"/>
  <c r="P7"/>
  <c r="P8"/>
  <c r="P9"/>
  <c r="P10"/>
  <c r="P11"/>
  <c r="P12"/>
  <c r="P13"/>
  <c r="P14"/>
  <c r="P15"/>
  <c r="P16"/>
  <c r="P17"/>
  <c r="P18"/>
  <c r="P20" l="1"/>
  <c r="D88" i="12" l="1"/>
  <c r="I83"/>
  <c r="M83" s="1"/>
  <c r="I82"/>
  <c r="M82" s="1"/>
  <c r="I81"/>
  <c r="M81" s="1"/>
  <c r="I80"/>
  <c r="M80" s="1"/>
  <c r="I79"/>
  <c r="M79" s="1"/>
  <c r="I78"/>
  <c r="M78" s="1"/>
  <c r="I77"/>
  <c r="M77" s="1"/>
  <c r="I76"/>
  <c r="M76" s="1"/>
  <c r="I75"/>
  <c r="M75" s="1"/>
  <c r="M74"/>
  <c r="I73"/>
  <c r="M73" s="1"/>
  <c r="I72"/>
  <c r="M72" s="1"/>
  <c r="I71"/>
  <c r="M71" s="1"/>
  <c r="I70"/>
  <c r="M70" s="1"/>
  <c r="I69"/>
  <c r="M69" s="1"/>
  <c r="I68"/>
  <c r="M68" s="1"/>
  <c r="I67"/>
  <c r="M67" s="1"/>
  <c r="I66"/>
  <c r="M66" s="1"/>
  <c r="I65"/>
  <c r="M65" s="1"/>
  <c r="M64"/>
  <c r="I62"/>
  <c r="M62" s="1"/>
  <c r="J57"/>
  <c r="N57" s="1"/>
  <c r="I56"/>
  <c r="M56" s="1"/>
  <c r="I55"/>
  <c r="M55" s="1"/>
  <c r="I54"/>
  <c r="M54" s="1"/>
  <c r="I53"/>
  <c r="M53" s="1"/>
  <c r="I51"/>
  <c r="M51" s="1"/>
  <c r="J49"/>
  <c r="N49" s="1"/>
  <c r="J44"/>
  <c r="L44" s="1"/>
  <c r="J43"/>
  <c r="L43" s="1"/>
  <c r="J42"/>
  <c r="L42" s="1"/>
  <c r="L38"/>
  <c r="L37"/>
  <c r="J36"/>
  <c r="L36" s="1"/>
  <c r="J35"/>
  <c r="L35" s="1"/>
  <c r="L34"/>
  <c r="L33"/>
  <c r="L30"/>
  <c r="K30"/>
  <c r="I29"/>
  <c r="K29" s="1"/>
  <c r="I28"/>
  <c r="K28" s="1"/>
  <c r="K27"/>
  <c r="K26"/>
  <c r="K25"/>
  <c r="I23"/>
  <c r="K23" s="1"/>
  <c r="I22"/>
  <c r="K22" s="1"/>
  <c r="J18"/>
  <c r="L18" s="1"/>
  <c r="J17"/>
  <c r="L17" s="1"/>
  <c r="J16"/>
  <c r="L16" s="1"/>
  <c r="J15"/>
  <c r="I12"/>
  <c r="K12" s="1"/>
  <c r="C88"/>
  <c r="I10"/>
  <c r="K10" s="1"/>
  <c r="I9"/>
  <c r="K9" s="1"/>
  <c r="M63" l="1"/>
  <c r="N88"/>
  <c r="E88"/>
  <c r="D90"/>
  <c r="M88"/>
  <c r="J88"/>
  <c r="L15"/>
  <c r="L88" s="1"/>
  <c r="F88"/>
  <c r="I11"/>
  <c r="K11" s="1"/>
  <c r="K88" s="1"/>
  <c r="I88" l="1"/>
  <c r="J91" s="1"/>
  <c r="N91"/>
  <c r="F90"/>
  <c r="L91"/>
  <c r="M101" l="1"/>
  <c r="J93"/>
  <c r="G160" i="11"/>
  <c r="G153"/>
  <c r="G50"/>
  <c r="G55"/>
  <c r="G56"/>
  <c r="I9" i="8"/>
  <c r="I11" s="1"/>
  <c r="G8" i="3"/>
  <c r="G21"/>
  <c r="E49" i="1"/>
  <c r="G116" i="11"/>
  <c r="G98"/>
  <c r="G88"/>
  <c r="G75"/>
  <c r="G65"/>
  <c r="I18" i="8"/>
  <c r="N17" i="1"/>
  <c r="O17"/>
  <c r="I21" i="7"/>
  <c r="G20" i="6"/>
  <c r="G11"/>
  <c r="G13"/>
  <c r="G12"/>
  <c r="E22" i="1"/>
  <c r="G10" i="3"/>
  <c r="J10" i="9"/>
  <c r="K65" i="4"/>
  <c r="J65"/>
  <c r="L34" i="8"/>
  <c r="L11"/>
  <c r="J43" i="7"/>
  <c r="J39"/>
  <c r="J26"/>
  <c r="J17"/>
  <c r="R15" i="4"/>
  <c r="R14"/>
  <c r="R13"/>
  <c r="R12"/>
  <c r="R11"/>
  <c r="R16" s="1"/>
  <c r="O19" i="1" l="1"/>
  <c r="G25" i="6"/>
  <c r="I36"/>
  <c r="I27"/>
  <c r="I25"/>
  <c r="G15"/>
  <c r="I15"/>
  <c r="I35" i="3"/>
  <c r="I10"/>
  <c r="J46" i="4"/>
  <c r="J50" s="1"/>
  <c r="K46"/>
  <c r="K50" s="1"/>
  <c r="K36"/>
  <c r="K38" s="1"/>
  <c r="J36"/>
  <c r="J38" s="1"/>
  <c r="G27" i="6" l="1"/>
  <c r="I37" i="3"/>
  <c r="I40" s="1"/>
  <c r="I43" s="1"/>
  <c r="I46" s="1"/>
  <c r="K25" i="4" l="1"/>
  <c r="G61" i="1"/>
  <c r="K17" i="4" l="1"/>
  <c r="H14"/>
  <c r="H18" s="1"/>
  <c r="H20" s="1"/>
  <c r="I14"/>
  <c r="J14"/>
  <c r="J18" s="1"/>
  <c r="J20" s="1"/>
  <c r="G14"/>
  <c r="G18" s="1"/>
  <c r="K12"/>
  <c r="K11"/>
  <c r="I20" l="1"/>
  <c r="I24"/>
  <c r="K18"/>
  <c r="K20" s="1"/>
  <c r="G20"/>
  <c r="G24"/>
  <c r="K14"/>
  <c r="G13" i="3"/>
  <c r="G35" s="1"/>
  <c r="G37" l="1"/>
  <c r="K24" i="4"/>
  <c r="Q4" i="2"/>
  <c r="Q5"/>
  <c r="Q6"/>
  <c r="Q7"/>
  <c r="Q8"/>
  <c r="Q9"/>
  <c r="Q10"/>
  <c r="Q11"/>
  <c r="Q12"/>
  <c r="Q13"/>
  <c r="Q14"/>
  <c r="Q3"/>
  <c r="N15"/>
  <c r="K4"/>
  <c r="K5"/>
  <c r="K6"/>
  <c r="K7"/>
  <c r="K8"/>
  <c r="K9"/>
  <c r="K10"/>
  <c r="K11"/>
  <c r="K12"/>
  <c r="K13"/>
  <c r="K14"/>
  <c r="K3"/>
  <c r="N4"/>
  <c r="N5"/>
  <c r="N6"/>
  <c r="N7"/>
  <c r="N8"/>
  <c r="N9"/>
  <c r="N10"/>
  <c r="N11"/>
  <c r="N12"/>
  <c r="N13"/>
  <c r="N14"/>
  <c r="N3"/>
  <c r="F7"/>
  <c r="R15"/>
  <c r="P15"/>
  <c r="O15"/>
  <c r="Q15" s="1"/>
  <c r="M15"/>
  <c r="L15"/>
  <c r="H5"/>
  <c r="H6" s="1"/>
  <c r="H7" s="1"/>
  <c r="H8" s="1"/>
  <c r="H9" s="1"/>
  <c r="H10" s="1"/>
  <c r="H11" s="1"/>
  <c r="H12" s="1"/>
  <c r="H13" s="1"/>
  <c r="H14" s="1"/>
  <c r="H4"/>
  <c r="J15"/>
  <c r="I15"/>
  <c r="K15" s="1"/>
  <c r="J17" s="1"/>
  <c r="D9"/>
  <c r="E9"/>
  <c r="F6"/>
  <c r="F8"/>
  <c r="F5"/>
  <c r="E61" i="1"/>
  <c r="G40" i="3" l="1"/>
  <c r="I7" i="7"/>
  <c r="I17" s="1"/>
  <c r="I26" s="1"/>
  <c r="I39" s="1"/>
  <c r="I43" s="1"/>
  <c r="J7" i="9"/>
  <c r="J12" s="1"/>
  <c r="J15" s="1"/>
  <c r="I61" i="1"/>
  <c r="F9" i="2"/>
  <c r="G43" i="3" l="1"/>
  <c r="G46" s="1"/>
  <c r="G34" i="6" s="1"/>
  <c r="G36" s="1"/>
  <c r="I22" i="8" l="1"/>
  <c r="I34" s="1"/>
  <c r="G168" i="11"/>
</calcChain>
</file>

<file path=xl/comments1.xml><?xml version="1.0" encoding="utf-8"?>
<comments xmlns="http://schemas.openxmlformats.org/spreadsheetml/2006/main">
  <authors>
    <author>Owner</author>
  </authors>
  <commentList>
    <comment ref="G8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Purchases and Diesel added to make up the total.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internet expenses of 400,000 has been added.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G12" authorId="0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Staff loans 1,265,000 and trade debtors 6,381,879</t>
        </r>
      </text>
    </comment>
  </commentList>
</comments>
</file>

<file path=xl/comments3.xml><?xml version="1.0" encoding="utf-8"?>
<comments xmlns="http://schemas.openxmlformats.org/spreadsheetml/2006/main">
  <authors>
    <author>Owner</author>
    <author>JAMES</author>
  </authors>
  <commentList>
    <comment ref="E27" authorId="0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Total staff debtis 3,343,000
House staff debts is 2,078,000.
Balance is 1,265,000</t>
        </r>
      </text>
    </comment>
    <comment ref="E67" authorId="1">
      <text>
        <r>
          <rPr>
            <b/>
            <sz val="9"/>
            <color indexed="81"/>
            <rFont val="Tahoma"/>
            <charset val="1"/>
          </rPr>
          <t>water and utilities</t>
        </r>
      </text>
    </comment>
    <comment ref="E85" authorId="0">
      <text>
        <r>
          <rPr>
            <b/>
            <sz val="9"/>
            <color indexed="81"/>
            <rFont val="Tahoma"/>
            <charset val="1"/>
          </rPr>
          <t>director's drawings+ other cash and cheque withdrawals+ diff. Btw cash expenses and cash drawings</t>
        </r>
      </text>
    </comment>
  </commentList>
</comments>
</file>

<file path=xl/sharedStrings.xml><?xml version="1.0" encoding="utf-8"?>
<sst xmlns="http://schemas.openxmlformats.org/spreadsheetml/2006/main" count="1487" uniqueCount="618">
  <si>
    <t>DR</t>
  </si>
  <si>
    <t>CR</t>
  </si>
  <si>
    <t>Building Improvement</t>
  </si>
  <si>
    <t>Plant &amp; Machinery</t>
  </si>
  <si>
    <t>Furniture &amp; Equipment</t>
  </si>
  <si>
    <t>Motor Vehicles</t>
  </si>
  <si>
    <t>Depreciation:</t>
  </si>
  <si>
    <t>-Buildng Improvement</t>
  </si>
  <si>
    <t>- Plant &amp; Machine</t>
  </si>
  <si>
    <t>-Furniture &amp; Equipment</t>
  </si>
  <si>
    <t>-Motor Vehicle</t>
  </si>
  <si>
    <t>-FCMB</t>
  </si>
  <si>
    <t>Prepayment</t>
  </si>
  <si>
    <t>Staff Debtors</t>
  </si>
  <si>
    <t>Withholding Tax</t>
  </si>
  <si>
    <t>Trade Creditors</t>
  </si>
  <si>
    <t>Accurals</t>
  </si>
  <si>
    <t>- Company Income Tax</t>
  </si>
  <si>
    <t>- Education Levy</t>
  </si>
  <si>
    <t>Share Capital</t>
  </si>
  <si>
    <t>Director's Current a/c</t>
  </si>
  <si>
    <t>Profit &amp; Loss a/c</t>
  </si>
  <si>
    <t>TOTAL</t>
  </si>
  <si>
    <t>MASYRA INTERNATIONAL SPORTING LIMITED</t>
  </si>
  <si>
    <t>-Sterling</t>
  </si>
  <si>
    <t>-Wema</t>
  </si>
  <si>
    <t>-Union</t>
  </si>
  <si>
    <t>Trade Debtors</t>
  </si>
  <si>
    <t>xx</t>
  </si>
  <si>
    <t>MASYRA INT'L SPORTING LIMITED</t>
  </si>
  <si>
    <t>SALES SUMMARY FOR THE YEAR ENDED DECEMBER, 2014</t>
  </si>
  <si>
    <t>SALES DEPTS</t>
  </si>
  <si>
    <t>CASH</t>
  </si>
  <si>
    <t>CREDIT</t>
  </si>
  <si>
    <t>Fusion</t>
  </si>
  <si>
    <t>Parties</t>
  </si>
  <si>
    <t>Seaside</t>
  </si>
  <si>
    <t>Total Sales</t>
  </si>
  <si>
    <t>cash</t>
  </si>
  <si>
    <t>credit</t>
  </si>
  <si>
    <t>Churrasco</t>
  </si>
  <si>
    <t>Churrasso</t>
  </si>
  <si>
    <t>Cash</t>
  </si>
  <si>
    <t>TOTAL SALES</t>
  </si>
  <si>
    <t>-Cash</t>
  </si>
  <si>
    <t>Cash/Bank Balances:</t>
  </si>
  <si>
    <t>N</t>
  </si>
  <si>
    <t>Restaurant &amp; Bar</t>
  </si>
  <si>
    <t>Less: Cost of sales</t>
  </si>
  <si>
    <t>Gross profit</t>
  </si>
  <si>
    <t>Operating expenses</t>
  </si>
  <si>
    <t>Salaries</t>
  </si>
  <si>
    <t>Gas</t>
  </si>
  <si>
    <t>Repairs and Maintenance - Building</t>
  </si>
  <si>
    <t>Repairs and Maintenance - General</t>
  </si>
  <si>
    <t>Utilities/Other Consumables - Cutlery etc</t>
  </si>
  <si>
    <t>Printing &amp; Stationery</t>
  </si>
  <si>
    <t>Advertisement &amp; Subscription</t>
  </si>
  <si>
    <t>Postages &amp; Telephone</t>
  </si>
  <si>
    <t>Transport &amp; Travelling (Overseas)</t>
  </si>
  <si>
    <t>Bank charges</t>
  </si>
  <si>
    <t>Interest on Overdraft</t>
  </si>
  <si>
    <t>Depreciation</t>
  </si>
  <si>
    <t>Electricity</t>
  </si>
  <si>
    <t>Uniform &amp; Tailoring</t>
  </si>
  <si>
    <t>Waste Disposal</t>
  </si>
  <si>
    <t>Operating Profit / Loss Before Taxation</t>
  </si>
  <si>
    <t>Less: Income Tax Provision</t>
  </si>
  <si>
    <t>Profit / (Loss) After Tax</t>
  </si>
  <si>
    <t>Less: Education Tax Provision</t>
  </si>
  <si>
    <t xml:space="preserve"> </t>
  </si>
  <si>
    <t>Retained Profit /(Loss) for the year</t>
  </si>
  <si>
    <t>Retained Profit /(Loss) B/Fwd</t>
  </si>
  <si>
    <t>As Per Balance Sheet</t>
  </si>
  <si>
    <t>FOR THE YEAR ENDED 31ST DECEMBER, 2014</t>
  </si>
  <si>
    <t>Stock @31 Dec 2014</t>
  </si>
  <si>
    <t>THE COMPANY</t>
  </si>
  <si>
    <t xml:space="preserve">The Company was incorporated in Nigeria as a private Limited Liability company with RC No 71487. </t>
  </si>
  <si>
    <t>It is engaged in the business of restaurant and related activities.</t>
  </si>
  <si>
    <t>FIXED ASSETS</t>
  </si>
  <si>
    <t>Total</t>
  </si>
  <si>
    <t>Building /Building Improvement</t>
  </si>
  <si>
    <t>Motor Vehicle</t>
  </si>
  <si>
    <t>COST</t>
  </si>
  <si>
    <t>Additions /disposal</t>
  </si>
  <si>
    <t>DEPRECIATION</t>
  </si>
  <si>
    <t>Charged for the year</t>
  </si>
  <si>
    <t>As at 1.1.2014</t>
  </si>
  <si>
    <t>As at 31.12.2014</t>
  </si>
  <si>
    <t>Repairs &amp; Maintenance (General)</t>
  </si>
  <si>
    <t>Repairs &amp; Maintenance (Building)</t>
  </si>
  <si>
    <t>Bank Charges</t>
  </si>
  <si>
    <t>Printing &amp; Stationary</t>
  </si>
  <si>
    <t>Cleaning/Waste Disposal</t>
  </si>
  <si>
    <t>Logistics/Courier</t>
  </si>
  <si>
    <t>Postages/Telephone/Internet</t>
  </si>
  <si>
    <t>Diesel</t>
  </si>
  <si>
    <t>Purchases</t>
  </si>
  <si>
    <t>Utilities</t>
  </si>
  <si>
    <t>Pension</t>
  </si>
  <si>
    <t>FIRS</t>
  </si>
  <si>
    <t>Union Dues/Subscription</t>
  </si>
  <si>
    <t>LASG Rates</t>
  </si>
  <si>
    <t>Transportation (Overseas)</t>
  </si>
  <si>
    <t>Sales</t>
  </si>
  <si>
    <t>FIRS - VAT Account</t>
  </si>
  <si>
    <t>Land Charge (Lagos Govt)</t>
  </si>
  <si>
    <t>NET BOOK VALUE</t>
  </si>
  <si>
    <t>As at 31.12.2013</t>
  </si>
  <si>
    <t>DEBTORS AND PREPAYMENTS</t>
  </si>
  <si>
    <t>(a)</t>
  </si>
  <si>
    <t>Falling due within 1 year</t>
  </si>
  <si>
    <t>Prepayments</t>
  </si>
  <si>
    <t>(b)</t>
  </si>
  <si>
    <t>Falling due after 1 year</t>
  </si>
  <si>
    <t>CREDITORS / ACCRUALS</t>
  </si>
  <si>
    <t>Trade creditors</t>
  </si>
  <si>
    <t>Accruals</t>
  </si>
  <si>
    <t>Overdraft</t>
  </si>
  <si>
    <t>-</t>
  </si>
  <si>
    <t>EMPLOYMENT OF CAPITAL</t>
  </si>
  <si>
    <t>NOTES</t>
  </si>
  <si>
    <t>CURRENT ASSETS</t>
  </si>
  <si>
    <t>Stock of materials</t>
  </si>
  <si>
    <t>Debtors and prepayments</t>
  </si>
  <si>
    <t>Cash and bank balance</t>
  </si>
  <si>
    <t>CURRENT LIABILITIES</t>
  </si>
  <si>
    <t>Creditors and accruals</t>
  </si>
  <si>
    <t>Bank overdraft</t>
  </si>
  <si>
    <t>Other provisions - Taxation</t>
  </si>
  <si>
    <t>REPRESENTED BY:</t>
  </si>
  <si>
    <t>Share capital</t>
  </si>
  <si>
    <t>Loan</t>
  </si>
  <si>
    <t>Profit and loss</t>
  </si>
  <si>
    <t xml:space="preserve">           - Education</t>
  </si>
  <si>
    <t>STATEMENT OF CASHFLOWS</t>
  </si>
  <si>
    <t>Net operating profit / (loss)</t>
  </si>
  <si>
    <t xml:space="preserve">Adjustment for items not involving </t>
  </si>
  <si>
    <t>movement of cash</t>
  </si>
  <si>
    <t>ASSET</t>
  </si>
  <si>
    <t>DATE PURCHASED</t>
  </si>
  <si>
    <t>AMOUNT</t>
  </si>
  <si>
    <t>RATE</t>
  </si>
  <si>
    <t>Kitchen Equipt</t>
  </si>
  <si>
    <t>Fabrication &amp; erection</t>
  </si>
  <si>
    <t>REMARKS</t>
  </si>
  <si>
    <t>Full year</t>
  </si>
  <si>
    <t>9 months</t>
  </si>
  <si>
    <t>Wall type Hood</t>
  </si>
  <si>
    <t>Jmyamg Counter</t>
  </si>
  <si>
    <t>Duct extractor System</t>
  </si>
  <si>
    <t xml:space="preserve">Operating profit and loss before changes in </t>
  </si>
  <si>
    <t>working capital</t>
  </si>
  <si>
    <t>Changes in working capital</t>
  </si>
  <si>
    <t>Trade creditors and accruals</t>
  </si>
  <si>
    <t>Tax paid</t>
  </si>
  <si>
    <t>Cash flow from operating activities</t>
  </si>
  <si>
    <t>Cash flowfrom investing activities</t>
  </si>
  <si>
    <t>Purchase of fixed assets</t>
  </si>
  <si>
    <t>Cash flow from financing activities</t>
  </si>
  <si>
    <t>Borrowing</t>
  </si>
  <si>
    <t>Loan repayment</t>
  </si>
  <si>
    <t xml:space="preserve">Net increase / (decrease) in cash and </t>
  </si>
  <si>
    <t>cash equivalent</t>
  </si>
  <si>
    <t>Cash and cash equivalent at the beginning</t>
  </si>
  <si>
    <t>Cash and cash equivalent at the end</t>
  </si>
  <si>
    <t>Represented by :</t>
  </si>
  <si>
    <t>Bank and Cash balances</t>
  </si>
  <si>
    <t>VALUE ADDED STATEMENTS</t>
  </si>
  <si>
    <t>%</t>
  </si>
  <si>
    <t>Turnover</t>
  </si>
  <si>
    <t>Value added</t>
  </si>
  <si>
    <t>Applied as follows:</t>
  </si>
  <si>
    <t>To pay employees</t>
  </si>
  <si>
    <t>Salaries, wages and allowances</t>
  </si>
  <si>
    <t>Bought in materials and services</t>
  </si>
  <si>
    <t>To oay Government</t>
  </si>
  <si>
    <t>Taxation</t>
  </si>
  <si>
    <t>To pay providers of capital</t>
  </si>
  <si>
    <t>Bank interest</t>
  </si>
  <si>
    <t>To provide for assets maintenance / expansion</t>
  </si>
  <si>
    <t>Retained profit</t>
  </si>
  <si>
    <t>Value added represents the additional wealth which the company has been able to create by it's own and it's employee's</t>
  </si>
  <si>
    <t xml:space="preserve">efforts. This statement shows the allocation of that wealth between employees, shareholders, government and that </t>
  </si>
  <si>
    <t>retained for future creation of more wealth.</t>
  </si>
  <si>
    <t>LASG Rates (Land use charge)</t>
  </si>
  <si>
    <t>TAXATION</t>
  </si>
  <si>
    <t>The provision for taxation is in accordance with the existing Tax laws and procedures:</t>
  </si>
  <si>
    <t>SHARE CAPITAL</t>
  </si>
  <si>
    <t>Authorised and fully paid 12,500,000 ordinary shares at N1 each.</t>
  </si>
  <si>
    <t>CASH AND BANK BALANCES</t>
  </si>
  <si>
    <t>cash in hand</t>
  </si>
  <si>
    <t>Bank</t>
  </si>
  <si>
    <t>INCOME POLICY GUIDELINES</t>
  </si>
  <si>
    <t>The Company complied with the guidelines of Productivity, Prices and Incomes Board as at year ended 31st December, 2014</t>
  </si>
  <si>
    <t>COMPUTATION OF TAX LIABILITY</t>
  </si>
  <si>
    <t>2015 YEAR OF ASSESSMENT</t>
  </si>
  <si>
    <t>Profit / (loss)</t>
  </si>
  <si>
    <r>
      <t xml:space="preserve">Add: </t>
    </r>
    <r>
      <rPr>
        <sz val="11"/>
        <color theme="1"/>
        <rFont val="Calibri"/>
        <family val="2"/>
        <scheme val="minor"/>
      </rPr>
      <t>Disallowable expenses</t>
    </r>
  </si>
  <si>
    <t xml:space="preserve">           - Depreciation</t>
  </si>
  <si>
    <t xml:space="preserve">          - Entertainment</t>
  </si>
  <si>
    <t>Adjusted profit</t>
  </si>
  <si>
    <t>Less loss b/f</t>
  </si>
  <si>
    <t>Loss c/f</t>
  </si>
  <si>
    <t>Assessable profit</t>
  </si>
  <si>
    <t>Capital allowances</t>
  </si>
  <si>
    <t xml:space="preserve">           Un - utilised b/f</t>
  </si>
  <si>
    <t xml:space="preserve">           Initial</t>
  </si>
  <si>
    <t xml:space="preserve">          Annual</t>
  </si>
  <si>
    <t>Claimed 2/3 of Assessment</t>
  </si>
  <si>
    <t>Un - utilised c/fwd</t>
  </si>
  <si>
    <t>Chargeable profit</t>
  </si>
  <si>
    <t>Tax thereon @30%</t>
  </si>
  <si>
    <t>Company Income Tax (LRP)</t>
  </si>
  <si>
    <t>Education Levy thereon (2% of Assess. Profit)</t>
  </si>
  <si>
    <t>BUILDING</t>
  </si>
  <si>
    <t>W.D.V</t>
  </si>
  <si>
    <t>Additions / (disposal)</t>
  </si>
  <si>
    <t>Capital Allowances</t>
  </si>
  <si>
    <t>Initial</t>
  </si>
  <si>
    <t>Annual</t>
  </si>
  <si>
    <t>PLANT &amp; MACHINERY</t>
  </si>
  <si>
    <t>FURNITURE &amp; EQUIPMENT</t>
  </si>
  <si>
    <t>Annual - Old</t>
  </si>
  <si>
    <t>MOTOR VEHICLE</t>
  </si>
  <si>
    <t xml:space="preserve">Annual </t>
  </si>
  <si>
    <t>SUMMARY</t>
  </si>
  <si>
    <t>Building</t>
  </si>
  <si>
    <t>STATEMENT OF COMPREHENSIVE INCOME</t>
  </si>
  <si>
    <t>STATEMENT OF FINANCIAL POSITION</t>
  </si>
  <si>
    <t>Provision for Tax:</t>
  </si>
  <si>
    <t>House</t>
  </si>
  <si>
    <t>Gross salaries</t>
  </si>
  <si>
    <t>Salaries schedule</t>
  </si>
  <si>
    <t>AUDIT JOURNALS</t>
  </si>
  <si>
    <t>FIRS - VAT</t>
  </si>
  <si>
    <t>Repairs &amp; maint. (General)</t>
  </si>
  <si>
    <t>Gas - cash purchases</t>
  </si>
  <si>
    <t>Repairs &amp; maint. (Building)</t>
  </si>
  <si>
    <t>Printing &amp; stationary</t>
  </si>
  <si>
    <t>Cleaning / Waste disposal - cash</t>
  </si>
  <si>
    <t>Logistics / Courier - cash</t>
  </si>
  <si>
    <t>Internet</t>
  </si>
  <si>
    <t>Uniform &amp; tailoring</t>
  </si>
  <si>
    <t>Union dues / Subscription</t>
  </si>
  <si>
    <t>Land use charges</t>
  </si>
  <si>
    <t>Kitchen equipment</t>
  </si>
  <si>
    <t>ITF</t>
  </si>
  <si>
    <t>Cash drawings</t>
  </si>
  <si>
    <t>P &amp; L acct</t>
  </si>
  <si>
    <t>Gas - bank</t>
  </si>
  <si>
    <t>Gas - cash</t>
  </si>
  <si>
    <t>Being gas purchased from cash and bank during the year.</t>
  </si>
  <si>
    <t>Being electricity expenses incured during the year</t>
  </si>
  <si>
    <t>P &amp; L acct - 2/3</t>
  </si>
  <si>
    <t>Director's current acct - 1/3</t>
  </si>
  <si>
    <t>Director's current acct - House</t>
  </si>
  <si>
    <t>Water rate</t>
  </si>
  <si>
    <t>Being various cash expenses during the year</t>
  </si>
  <si>
    <t>Being salaries and wages incured during the year charged to P &amp; L</t>
  </si>
  <si>
    <t>Repairs &amp; maintenance (Building) - Bank</t>
  </si>
  <si>
    <t>Repairs &amp; maintenance (Building) - Cash</t>
  </si>
  <si>
    <t>Being repairs and maintenance expenses on building during the year.</t>
  </si>
  <si>
    <t>Being general repairs &amp; maintenance expenses incured during the year.</t>
  </si>
  <si>
    <t>Purchases - Bank</t>
  </si>
  <si>
    <t>Purchases - Cash</t>
  </si>
  <si>
    <t>Being the total cost of purchases during the year.</t>
  </si>
  <si>
    <t>Being total bank charges incured during the year.</t>
  </si>
  <si>
    <t>Cleaning / waste disposal - Cash</t>
  </si>
  <si>
    <t>Cleaning / waste disposal - Bank</t>
  </si>
  <si>
    <t>Being expenses on cleaning /waste disposal incured in the year</t>
  </si>
  <si>
    <t>Being printing and stationary expenses incured during in the year.</t>
  </si>
  <si>
    <t>Being expenses on telephone/postages in the year</t>
  </si>
  <si>
    <t>Logistics / courier - Bank</t>
  </si>
  <si>
    <t>Logistics / courier - Cash</t>
  </si>
  <si>
    <t>Being logistices and courierexpenses incured during the year</t>
  </si>
  <si>
    <t>Being total cost expended on diesel for the year</t>
  </si>
  <si>
    <t>Being utilitiy expenses for the year.</t>
  </si>
  <si>
    <t>Being expenses on uniform/tailoring during the year.</t>
  </si>
  <si>
    <t>Union dues/subscription - cash</t>
  </si>
  <si>
    <t>Union dues/subscription - bank</t>
  </si>
  <si>
    <t>Being union dues paid during the year</t>
  </si>
  <si>
    <t>Being expenses on water rates during the year</t>
  </si>
  <si>
    <t>Being rates paid to Lagos state government during the year.</t>
  </si>
  <si>
    <t>Being payment on land charges during the year</t>
  </si>
  <si>
    <t>Consultancy/Professional fees</t>
  </si>
  <si>
    <t>Being payment on professional fees during the year.</t>
  </si>
  <si>
    <t>Being medical expenses during the year.</t>
  </si>
  <si>
    <t>Being oversea travel expenses incured during the year</t>
  </si>
  <si>
    <t>Director's current acct</t>
  </si>
  <si>
    <t>Electricity - Bank</t>
  </si>
  <si>
    <t>Salaries &amp; wages - Cash</t>
  </si>
  <si>
    <t>Being expenses incured on behalve of the Directors for the year.</t>
  </si>
  <si>
    <t>Depriciation</t>
  </si>
  <si>
    <t>Building/Building imprrovement</t>
  </si>
  <si>
    <t>Plant machinery</t>
  </si>
  <si>
    <t>Furniture &amp; equipment</t>
  </si>
  <si>
    <t>Motor vehicle</t>
  </si>
  <si>
    <t>Being provision for depriciation on various Fixed assets during the year.</t>
  </si>
  <si>
    <t>Electricity expenses - Bank</t>
  </si>
  <si>
    <t>Repairs &amp; maintenance (General) - Cash</t>
  </si>
  <si>
    <t>Bank charges - Bank</t>
  </si>
  <si>
    <t>Printing &amp; statiponary - Cash</t>
  </si>
  <si>
    <t>Postages and Telephone/Internet - Cash</t>
  </si>
  <si>
    <t>Diesel - Bank</t>
  </si>
  <si>
    <t>Uniform / tailoring - Cash</t>
  </si>
  <si>
    <t>Water rates - Bank</t>
  </si>
  <si>
    <t>LASG rates - Cash</t>
  </si>
  <si>
    <t>Land charge - Cash</t>
  </si>
  <si>
    <t>Consultancy/Professional fees - Bank</t>
  </si>
  <si>
    <t>Medical - Bank</t>
  </si>
  <si>
    <t>Travels - overseas - Bank</t>
  </si>
  <si>
    <t>Director's current account</t>
  </si>
  <si>
    <t>Being the difference between cash drawings and the cash expenses now debited to Director's C/A</t>
  </si>
  <si>
    <t>Director's C/A</t>
  </si>
  <si>
    <t>Being total cash/cheque withdrawals during the year written off to diroctor's C/A</t>
  </si>
  <si>
    <t>Cash/cheque drawings</t>
  </si>
  <si>
    <t xml:space="preserve">Medical </t>
  </si>
  <si>
    <t>Industrial Training Fund - bank</t>
  </si>
  <si>
    <t>Being contribution made by the company for the year.</t>
  </si>
  <si>
    <t>Being payment of VAT made to FIRS for the year</t>
  </si>
  <si>
    <t>Welfare &amp; Medicals</t>
  </si>
  <si>
    <t>Logistics/Courier Services</t>
  </si>
  <si>
    <t>Union Dues</t>
  </si>
  <si>
    <t>Consultancy/Professional Fee</t>
  </si>
  <si>
    <t>Being payment of Pension to pension administrators for the year.</t>
  </si>
  <si>
    <t>TRIAL BALANCE FOR THE YEAR ENDED 31ST DECEMBER 2014</t>
  </si>
  <si>
    <t>Being payment of Education levy for 2012.</t>
  </si>
  <si>
    <t>Bank (2012 YOA)Education levy</t>
  </si>
  <si>
    <t>Provision for Tax (2012 Education levy)</t>
  </si>
  <si>
    <t>Provision for Tax (2013 CIT)</t>
  </si>
  <si>
    <t>Being provision for CIT for 2013 YOA yet to be paid</t>
  </si>
  <si>
    <t>Provision for Education levy (2013)</t>
  </si>
  <si>
    <t>Being provision for Education levy for 2013 YOA yet to be paid.</t>
  </si>
  <si>
    <t>Creditors</t>
  </si>
  <si>
    <t xml:space="preserve">Transaction in </t>
  </si>
  <si>
    <t>Opening</t>
  </si>
  <si>
    <t>Balance</t>
  </si>
  <si>
    <t>the year</t>
  </si>
  <si>
    <t>Adjustments</t>
  </si>
  <si>
    <t>Closing Balance</t>
  </si>
  <si>
    <t>Balance sheet</t>
  </si>
  <si>
    <t>Profit &amp; Loss</t>
  </si>
  <si>
    <t>Cost</t>
  </si>
  <si>
    <t>Building &amp; building improvements</t>
  </si>
  <si>
    <t>Plant &amp; machinery</t>
  </si>
  <si>
    <t>Motor vehicles</t>
  </si>
  <si>
    <t>Accumulated depreciation</t>
  </si>
  <si>
    <t>Building &amp; building improvement</t>
  </si>
  <si>
    <t xml:space="preserve">Cash </t>
  </si>
  <si>
    <t>Stock</t>
  </si>
  <si>
    <t>Trade debtors</t>
  </si>
  <si>
    <t>PREPAYMENTS</t>
  </si>
  <si>
    <t>Debtors - due after one year</t>
  </si>
  <si>
    <t>Directors current account</t>
  </si>
  <si>
    <t>FGN/FIRS - VAT</t>
  </si>
  <si>
    <t>Bank O/D</t>
  </si>
  <si>
    <t>Education tax</t>
  </si>
  <si>
    <t>FUNDED BY</t>
  </si>
  <si>
    <t>PROFIT &amp; LOSS B/F</t>
  </si>
  <si>
    <t>PROFIT AND LOSS</t>
  </si>
  <si>
    <t>SALES</t>
  </si>
  <si>
    <t>COST OF SALES</t>
  </si>
  <si>
    <t>Opening stock</t>
  </si>
  <si>
    <t xml:space="preserve"> - Purchases</t>
  </si>
  <si>
    <t>Kitchen staff</t>
  </si>
  <si>
    <t>Less closing stock</t>
  </si>
  <si>
    <t>GROSS PROFIT</t>
  </si>
  <si>
    <t>OPERATING EXPENSES</t>
  </si>
  <si>
    <t>Salaries &amp; wages</t>
  </si>
  <si>
    <t>Repairs &amp; maintenance - Building</t>
  </si>
  <si>
    <t>Repairs &amp; maintenance - General</t>
  </si>
  <si>
    <t>Utilities / other consumables</t>
  </si>
  <si>
    <t>Printing &amp; stationery</t>
  </si>
  <si>
    <t>Professional fees</t>
  </si>
  <si>
    <t>Security</t>
  </si>
  <si>
    <t>Waste disposal</t>
  </si>
  <si>
    <t>Welfare &amp; medicals</t>
  </si>
  <si>
    <t>Suspense</t>
  </si>
  <si>
    <t>Trainees</t>
  </si>
  <si>
    <t>Probation</t>
  </si>
  <si>
    <t>Cleaning</t>
  </si>
  <si>
    <t>Kitchen</t>
  </si>
  <si>
    <t>Store</t>
  </si>
  <si>
    <t>Laundry</t>
  </si>
  <si>
    <t>Sea side</t>
  </si>
  <si>
    <t>Take away</t>
  </si>
  <si>
    <t>Maintenance</t>
  </si>
  <si>
    <t>Accounts</t>
  </si>
  <si>
    <t>DEPARTMENT</t>
  </si>
  <si>
    <t>S/N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</si>
  <si>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</si>
  <si>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</si>
  <si>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</si>
  <si>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</si>
  <si>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</si>
  <si>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</si>
  <si>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</si>
  <si>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</si>
  <si>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</si>
  <si>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</si>
  <si>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</si>
  <si>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</si>
  <si>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ANALYSIS OF SALARIES</t>
  </si>
  <si>
    <t>Transport &amp; travelling (Over seas)</t>
  </si>
  <si>
    <t>Ground rent - Land charge</t>
  </si>
  <si>
    <t>Postage &amp; telephone/Internet</t>
  </si>
  <si>
    <t>EXTENDED TRIAL BALANCE - MASYRA INTERNATIONAL SPORTING LIMITED - 2014</t>
  </si>
  <si>
    <t>CAPITAL ALLOWANCES COMPUTATION</t>
  </si>
  <si>
    <t>W.D.V.</t>
  </si>
  <si>
    <t>Total capital expenditure</t>
  </si>
  <si>
    <t xml:space="preserve">Initial </t>
  </si>
  <si>
    <t>WDV</t>
  </si>
  <si>
    <t xml:space="preserve">                - New</t>
  </si>
  <si>
    <t>Furniture &amp; fittings</t>
  </si>
  <si>
    <t>Bank account</t>
  </si>
  <si>
    <t>Bank opening balance</t>
  </si>
  <si>
    <t>Suspense account</t>
  </si>
  <si>
    <t>Being the difference in bank's opening balance corrected</t>
  </si>
  <si>
    <t>DEC</t>
  </si>
  <si>
    <t>NOV</t>
  </si>
  <si>
    <t>OCT</t>
  </si>
  <si>
    <t>SEPT</t>
  </si>
  <si>
    <t>AUG</t>
  </si>
  <si>
    <t>FEB</t>
  </si>
  <si>
    <t>JAN</t>
  </si>
  <si>
    <t>WEMA BANK</t>
  </si>
  <si>
    <t>FCMB</t>
  </si>
  <si>
    <t>UNION BANK</t>
  </si>
  <si>
    <t>STERLING BANK</t>
  </si>
  <si>
    <t>MONTHS</t>
  </si>
  <si>
    <t>BANK DEPOSIT ANALYSIS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</si>
  <si>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</si>
  <si>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</si>
  <si>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</si>
  <si>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</si>
  <si>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</si>
  <si>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</si>
  <si>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</si>
  <si>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</si>
  <si>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</si>
  <si>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</si>
  <si>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</si>
  <si>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</si>
  <si>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WEMA</t>
  </si>
  <si>
    <t>mar</t>
  </si>
  <si>
    <t>apr</t>
  </si>
  <si>
    <t>Grand total sales</t>
  </si>
  <si>
    <t>UNION</t>
  </si>
  <si>
    <t>DEPOSITS BY DIRECTOR/STAFF INTO BANK</t>
  </si>
  <si>
    <t>DIRECTOR'S ACCOUNT</t>
  </si>
  <si>
    <t>Months</t>
  </si>
  <si>
    <t>Description</t>
  </si>
  <si>
    <t>Febuary</t>
  </si>
  <si>
    <t>Cash drawn by director</t>
  </si>
  <si>
    <t>May</t>
  </si>
  <si>
    <t>Petrostar</t>
  </si>
  <si>
    <t>August</t>
  </si>
  <si>
    <t xml:space="preserve">Nationa Union </t>
  </si>
  <si>
    <t>Union dues</t>
  </si>
  <si>
    <t>September</t>
  </si>
  <si>
    <t>Cheque issued to Brockport energy</t>
  </si>
  <si>
    <t>October</t>
  </si>
  <si>
    <t>Worldwide avr services ltd</t>
  </si>
  <si>
    <t>Courier</t>
  </si>
  <si>
    <t>LAWMA</t>
  </si>
  <si>
    <t>PAYE</t>
  </si>
  <si>
    <t>LSBIR</t>
  </si>
  <si>
    <t>November</t>
  </si>
  <si>
    <t>Arzeh integrated ltd</t>
  </si>
  <si>
    <t>Royal mandarin C/R</t>
  </si>
  <si>
    <t>Local fund trf</t>
  </si>
  <si>
    <t>Cheque issued to ITF</t>
  </si>
  <si>
    <t>Cheque issued to Lagos jet ski ltd</t>
  </si>
  <si>
    <t>December</t>
  </si>
  <si>
    <t>Cheque issued to ARM PFA</t>
  </si>
  <si>
    <t>PENSION</t>
  </si>
  <si>
    <t>Repairs &amp; Maint - General</t>
  </si>
  <si>
    <t>Water</t>
  </si>
  <si>
    <t>Lagos state water corp</t>
  </si>
  <si>
    <t>Cheque issued to Asa advance tech</t>
  </si>
  <si>
    <t>TOTALS</t>
  </si>
  <si>
    <t>January</t>
  </si>
  <si>
    <t>Cheque issued to Regency Overseas coy</t>
  </si>
  <si>
    <t>Cheque issued to Petrostar</t>
  </si>
  <si>
    <t>Cheque issued to Zapphaire events</t>
  </si>
  <si>
    <t>Transfer by Masyra</t>
  </si>
  <si>
    <t>Cheque issued to Bengas vent</t>
  </si>
  <si>
    <t>Association Francaise of Nig</t>
  </si>
  <si>
    <t>Lagos state waste mgt auth</t>
  </si>
  <si>
    <t>Cheque issued to Kesington A</t>
  </si>
  <si>
    <t>PHCN</t>
  </si>
  <si>
    <t>Electricity - PHCN</t>
  </si>
  <si>
    <t>Cash drawn</t>
  </si>
  <si>
    <t>Martins Odili</t>
  </si>
  <si>
    <t>Cheque to ARM PFA</t>
  </si>
  <si>
    <t>Cheque to Glo Mobile</t>
  </si>
  <si>
    <t>Telephone exps</t>
  </si>
  <si>
    <t>Cheque to Genne Travels nig ltd</t>
  </si>
  <si>
    <t>Oversea travels</t>
  </si>
  <si>
    <t>Cheque to ITF</t>
  </si>
  <si>
    <t>Cheque issued to Mrs Ogunkoya Ent</t>
  </si>
  <si>
    <t>Cheque issued to World wide vent</t>
  </si>
  <si>
    <t xml:space="preserve">Cheque issued to Northern Star </t>
  </si>
  <si>
    <t>February</t>
  </si>
  <si>
    <t>Cheque to Nahman Construction</t>
  </si>
  <si>
    <t>Repairs &amp; Maint - Building</t>
  </si>
  <si>
    <t>Cheque to NSITF</t>
  </si>
  <si>
    <t>Payment to Mohammed Yau B</t>
  </si>
  <si>
    <t>Payment to Reston Comm Ent</t>
  </si>
  <si>
    <t>Payment to Igbanfik Limited</t>
  </si>
  <si>
    <t>Transfer to Hidroad</t>
  </si>
  <si>
    <t>Transfer to Wema Bank</t>
  </si>
  <si>
    <t>Transfer by Masyra to Kwankwani</t>
  </si>
  <si>
    <t>Worldwide air services ltd</t>
  </si>
  <si>
    <t>Cheque issued to V Craft Ltd</t>
  </si>
  <si>
    <t>Cheque issued to Refuel ltd</t>
  </si>
  <si>
    <t>Cheque issued to Pro kitchen</t>
  </si>
  <si>
    <t>Funds transfer to Nakson</t>
  </si>
  <si>
    <t>Cheque issued to Ideal Eagle Hosp</t>
  </si>
  <si>
    <t>Cheque issued to Try N carry</t>
  </si>
  <si>
    <t>Cheque issued to PHCN</t>
  </si>
  <si>
    <t>Draft issued by order of Masyra</t>
  </si>
  <si>
    <t>Cheque issued to Osita Ojukwu</t>
  </si>
  <si>
    <t>Cheque issued infavor of Globacom</t>
  </si>
  <si>
    <t>Cheque issued to Ndubisi Nelson</t>
  </si>
  <si>
    <t>Cheque issued to Ghaddar Machery</t>
  </si>
  <si>
    <t>Cheque issued to Antone Raymond</t>
  </si>
  <si>
    <t>Cheque issued to Hopesea</t>
  </si>
  <si>
    <t>Cheque issued to EKDC</t>
  </si>
  <si>
    <t>Cheque issued to Nahman constr</t>
  </si>
  <si>
    <t>Cheque issued to Borkir Inter</t>
  </si>
  <si>
    <t>Cheque issued infavor of PHCN</t>
  </si>
  <si>
    <t>Cheque issued infavor of EKDC</t>
  </si>
  <si>
    <t>Transfer to Igbanfix Ltd</t>
  </si>
  <si>
    <t>Draft issued to FIRS - vatinti masters</t>
  </si>
  <si>
    <t>Transfer by order of Masyra to Wema</t>
  </si>
  <si>
    <t>Nou de claim/bank charges</t>
  </si>
  <si>
    <t>Cheque issued to of Airtelnetworks</t>
  </si>
  <si>
    <t>ROE of failed txn</t>
  </si>
  <si>
    <t>Transfer to Giant BDCLtd</t>
  </si>
  <si>
    <t>Cheque issued to Proline Aluminium</t>
  </si>
  <si>
    <t>Cheque issued to NSITF</t>
  </si>
  <si>
    <t>Cheque issued to Glomobile</t>
  </si>
  <si>
    <t>Cheque issued to Okomoto Global</t>
  </si>
  <si>
    <t>Cheque issued to Nigeria B</t>
  </si>
  <si>
    <t>Cheque issued to Rhapsody master</t>
  </si>
  <si>
    <t>FIRS - CIT</t>
  </si>
  <si>
    <t>FIRS - EDU LEVY</t>
  </si>
  <si>
    <t>POS charged back</t>
  </si>
  <si>
    <t>Cheque issued to Nahman construction</t>
  </si>
  <si>
    <t>Cheque issued to Sansor Merchant Nig lt</t>
  </si>
  <si>
    <t>Cheque issued to My oil Int Services</t>
  </si>
  <si>
    <t>Cheque infavor of Kolab Oil &amp; Gas</t>
  </si>
  <si>
    <t>Cheque issued infavor of 7p bottling coy</t>
  </si>
  <si>
    <t>Cheque infavor of Mega Plaza</t>
  </si>
  <si>
    <t>Cheque issued to Internet solutions</t>
  </si>
  <si>
    <t>Cheque issued to Senar Merchant Nig lt</t>
  </si>
  <si>
    <t>Bank charges/Legal search</t>
  </si>
  <si>
    <t>Rvsl of ups merchant payment</t>
  </si>
  <si>
    <t>Professiona fees</t>
  </si>
  <si>
    <t>Transfer to Muhammed Yau Barma</t>
  </si>
  <si>
    <t>Transfer to Madina Devpt Ltd</t>
  </si>
  <si>
    <t>Cheque issued to Dab Aremu Ent</t>
  </si>
  <si>
    <t>Cheque issued to Sensor Merchant Nig ltd</t>
  </si>
  <si>
    <t>Transfer to Rehoboth BDC ltd</t>
  </si>
  <si>
    <t>transfer to Calculux BDC ltd</t>
  </si>
  <si>
    <t>Cheque paid</t>
  </si>
  <si>
    <t>Legal search/Bank charges</t>
  </si>
  <si>
    <t>Transfer ordered by Masyra</t>
  </si>
  <si>
    <t>Transfer ordered by Masyra to Haruna A</t>
  </si>
  <si>
    <t>Transfer to Nigeria Breweries</t>
  </si>
  <si>
    <t>Transfer to Giant BDC Ltd</t>
  </si>
  <si>
    <t>Transfer to Northern star</t>
  </si>
  <si>
    <t>Payment made by POS</t>
  </si>
  <si>
    <t>Cheque paid to Northern star</t>
  </si>
  <si>
    <t>House Hold Items</t>
  </si>
  <si>
    <t>ANALYSIS - CASH &amp; BANK</t>
  </si>
  <si>
    <t>DESCRIPTION</t>
  </si>
  <si>
    <t>Other drawings</t>
  </si>
  <si>
    <t>Postages/Telephone</t>
  </si>
  <si>
    <t>Cleaning and Waste disposal</t>
  </si>
  <si>
    <t>Printing and Stationery</t>
  </si>
  <si>
    <t>Logistics and Courier</t>
  </si>
  <si>
    <t>Paye</t>
  </si>
  <si>
    <t>Land Charge</t>
  </si>
  <si>
    <t>Medical</t>
  </si>
  <si>
    <t>Salaries &amp; Wages</t>
  </si>
  <si>
    <t>Repairs &amp; Maintenance - General</t>
  </si>
  <si>
    <t>Repairs &amp; Maintenance - Building</t>
  </si>
  <si>
    <t>Utilities/Rentals</t>
  </si>
  <si>
    <t>Utilities/ Rentals</t>
  </si>
  <si>
    <t>Security Expenses</t>
  </si>
  <si>
    <t>Kitchen Equipment/House hold</t>
  </si>
  <si>
    <t>Other Drawings</t>
  </si>
  <si>
    <t>Director's Drawings</t>
  </si>
  <si>
    <t>Union dues/ Subscription</t>
  </si>
  <si>
    <t>Advertisement &amp; subscription &amp; Union dues</t>
  </si>
  <si>
    <t>Kitchen/ House hold items</t>
  </si>
  <si>
    <t>Utilities &amp; Rentals</t>
  </si>
  <si>
    <t xml:space="preserve">Security </t>
  </si>
  <si>
    <t>Being various withdrawals from the banks during the year</t>
  </si>
  <si>
    <t>Repairs &amp; maintenance (General) - Bank</t>
  </si>
  <si>
    <t>Postages and Telephone/Internet - Bank</t>
  </si>
  <si>
    <t>Utilities/Rentals - Cash</t>
  </si>
  <si>
    <t>Utilities/Rentals - Bank</t>
  </si>
  <si>
    <t>Funiture &amp; Equipment/ House hold</t>
  </si>
  <si>
    <t>Being the purchases of kitchen and House hold equipment during the year.</t>
  </si>
  <si>
    <t>Cash expenses</t>
  </si>
  <si>
    <t>FIRS - Bank</t>
  </si>
  <si>
    <t>Various Cash/Cheque withdrawals - Bank</t>
  </si>
  <si>
    <t>Director's drawings - Bank</t>
  </si>
  <si>
    <t>Pension - Bank</t>
  </si>
  <si>
    <t>Security - Bank</t>
  </si>
  <si>
    <t>Being security expenses incured during the year.</t>
  </si>
  <si>
    <t xml:space="preserve"> - Freight/Courier</t>
  </si>
  <si>
    <t xml:space="preserve"> - Gas</t>
  </si>
  <si>
    <t>Waste disposal/Cleaning</t>
  </si>
</sst>
</file>

<file path=xl/styles.xml><?xml version="1.0" encoding="utf-8"?>
<styleSheet xmlns="http://schemas.openxmlformats.org/spreadsheetml/2006/main">
  <numFmts count="4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1" applyNumberFormat="1" applyFont="1"/>
    <xf numFmtId="3" fontId="0" fillId="0" borderId="0" xfId="0" applyNumberFormat="1" applyFill="1"/>
    <xf numFmtId="165" fontId="0" fillId="0" borderId="0" xfId="1" applyFont="1"/>
    <xf numFmtId="0" fontId="4" fillId="0" borderId="0" xfId="0" applyFont="1" applyAlignment="1">
      <alignment horizontal="center"/>
    </xf>
    <xf numFmtId="165" fontId="2" fillId="0" borderId="0" xfId="1" applyFont="1"/>
    <xf numFmtId="165" fontId="0" fillId="0" borderId="0" xfId="0" applyNumberFormat="1"/>
    <xf numFmtId="165" fontId="2" fillId="2" borderId="0" xfId="1" applyFont="1" applyFill="1"/>
    <xf numFmtId="165" fontId="0" fillId="2" borderId="0" xfId="0" applyNumberFormat="1" applyFill="1"/>
    <xf numFmtId="165" fontId="0" fillId="2" borderId="0" xfId="1" applyFont="1" applyFill="1"/>
    <xf numFmtId="165" fontId="2" fillId="2" borderId="0" xfId="0" applyNumberFormat="1" applyFont="1" applyFill="1"/>
    <xf numFmtId="165" fontId="0" fillId="3" borderId="0" xfId="0" applyNumberFormat="1" applyFill="1"/>
    <xf numFmtId="165" fontId="2" fillId="3" borderId="0" xfId="0" applyNumberFormat="1" applyFont="1" applyFill="1"/>
    <xf numFmtId="0" fontId="0" fillId="0" borderId="0" xfId="0" quotePrefix="1"/>
    <xf numFmtId="3" fontId="7" fillId="0" borderId="1" xfId="0" applyNumberFormat="1" applyFont="1" applyBorder="1" applyAlignment="1">
      <alignment horizontal="left"/>
    </xf>
    <xf numFmtId="3" fontId="0" fillId="0" borderId="0" xfId="0" applyNumberFormat="1" applyBorder="1"/>
    <xf numFmtId="3" fontId="0" fillId="0" borderId="1" xfId="0" applyNumberFormat="1" applyBorder="1"/>
    <xf numFmtId="3" fontId="9" fillId="0" borderId="0" xfId="0" applyNumberFormat="1" applyFont="1" applyBorder="1" applyAlignment="1">
      <alignment horizontal="center"/>
    </xf>
    <xf numFmtId="167" fontId="0" fillId="0" borderId="2" xfId="0" applyNumberFormat="1" applyFont="1" applyFill="1" applyBorder="1" applyAlignment="1">
      <alignment horizontal="right"/>
    </xf>
    <xf numFmtId="3" fontId="0" fillId="0" borderId="2" xfId="0" applyNumberFormat="1" applyBorder="1"/>
    <xf numFmtId="3" fontId="2" fillId="0" borderId="1" xfId="0" applyNumberFormat="1" applyFont="1" applyBorder="1"/>
    <xf numFmtId="3" fontId="0" fillId="0" borderId="2" xfId="0" applyNumberFormat="1" applyFont="1" applyBorder="1"/>
    <xf numFmtId="0" fontId="0" fillId="0" borderId="0" xfId="0" applyBorder="1"/>
    <xf numFmtId="3" fontId="4" fillId="0" borderId="0" xfId="0" applyNumberFormat="1" applyFont="1" applyBorder="1"/>
    <xf numFmtId="3" fontId="8" fillId="0" borderId="0" xfId="0" applyNumberFormat="1" applyFont="1" applyBorder="1"/>
    <xf numFmtId="0" fontId="4" fillId="0" borderId="0" xfId="0" applyFont="1" applyBorder="1"/>
    <xf numFmtId="0" fontId="8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165" fontId="0" fillId="0" borderId="0" xfId="1" applyFont="1" applyBorder="1"/>
    <xf numFmtId="1" fontId="4" fillId="0" borderId="0" xfId="1" applyNumberFormat="1" applyFont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right"/>
    </xf>
    <xf numFmtId="3" fontId="0" fillId="0" borderId="3" xfId="0" applyNumberFormat="1" applyBorder="1"/>
    <xf numFmtId="3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center"/>
    </xf>
    <xf numFmtId="3" fontId="0" fillId="0" borderId="5" xfId="0" applyNumberFormat="1" applyBorder="1"/>
    <xf numFmtId="0" fontId="0" fillId="4" borderId="0" xfId="0" applyFill="1"/>
    <xf numFmtId="165" fontId="0" fillId="0" borderId="0" xfId="1" quotePrefix="1" applyFont="1" applyBorder="1" applyAlignment="1">
      <alignment horizontal="center"/>
    </xf>
    <xf numFmtId="165" fontId="0" fillId="0" borderId="0" xfId="1" quotePrefix="1" applyFont="1" applyBorder="1" applyAlignment="1">
      <alignment horizontal="right"/>
    </xf>
    <xf numFmtId="0" fontId="3" fillId="0" borderId="0" xfId="0" applyFont="1" applyAlignment="1"/>
    <xf numFmtId="0" fontId="2" fillId="0" borderId="0" xfId="0" applyFont="1" applyAlignment="1"/>
    <xf numFmtId="0" fontId="7" fillId="0" borderId="1" xfId="0" applyFont="1" applyBorder="1" applyAlignment="1"/>
    <xf numFmtId="0" fontId="7" fillId="0" borderId="0" xfId="0" applyFont="1"/>
    <xf numFmtId="166" fontId="0" fillId="0" borderId="2" xfId="1" applyNumberFormat="1" applyFont="1" applyBorder="1"/>
    <xf numFmtId="166" fontId="0" fillId="0" borderId="2" xfId="0" applyNumberFormat="1" applyBorder="1"/>
    <xf numFmtId="166" fontId="0" fillId="0" borderId="0" xfId="0" applyNumberFormat="1"/>
    <xf numFmtId="166" fontId="2" fillId="0" borderId="5" xfId="0" applyNumberFormat="1" applyFont="1" applyBorder="1"/>
    <xf numFmtId="166" fontId="2" fillId="0" borderId="5" xfId="1" applyNumberFormat="1" applyFont="1" applyBorder="1"/>
    <xf numFmtId="0" fontId="0" fillId="4" borderId="0" xfId="0" applyFill="1" applyBorder="1"/>
    <xf numFmtId="0" fontId="2" fillId="4" borderId="0" xfId="0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/>
    </xf>
    <xf numFmtId="166" fontId="0" fillId="4" borderId="0" xfId="0" applyNumberFormat="1" applyFill="1" applyBorder="1"/>
    <xf numFmtId="3" fontId="0" fillId="0" borderId="5" xfId="0" applyNumberFormat="1" applyFont="1" applyBorder="1"/>
    <xf numFmtId="166" fontId="1" fillId="0" borderId="0" xfId="1" applyNumberFormat="1" applyFont="1"/>
    <xf numFmtId="166" fontId="0" fillId="0" borderId="0" xfId="1" applyNumberFormat="1" applyFont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0" fillId="0" borderId="6" xfId="0" applyBorder="1"/>
    <xf numFmtId="14" fontId="0" fillId="0" borderId="6" xfId="0" applyNumberFormat="1" applyBorder="1"/>
    <xf numFmtId="166" fontId="0" fillId="0" borderId="6" xfId="1" applyNumberFormat="1" applyFont="1" applyBorder="1"/>
    <xf numFmtId="9" fontId="0" fillId="0" borderId="6" xfId="0" applyNumberFormat="1" applyBorder="1"/>
    <xf numFmtId="166" fontId="2" fillId="0" borderId="6" xfId="1" applyNumberFormat="1" applyFont="1" applyBorder="1"/>
    <xf numFmtId="166" fontId="0" fillId="0" borderId="3" xfId="1" applyNumberFormat="1" applyFont="1" applyBorder="1"/>
    <xf numFmtId="166" fontId="10" fillId="0" borderId="2" xfId="1" applyNumberFormat="1" applyFont="1" applyBorder="1"/>
    <xf numFmtId="166" fontId="9" fillId="0" borderId="0" xfId="0" applyNumberFormat="1" applyFont="1" applyBorder="1" applyAlignment="1">
      <alignment horizontal="center"/>
    </xf>
    <xf numFmtId="166" fontId="10" fillId="0" borderId="4" xfId="1" applyNumberFormat="1" applyFont="1" applyBorder="1"/>
    <xf numFmtId="166" fontId="0" fillId="0" borderId="0" xfId="1" applyNumberFormat="1" applyFont="1" applyBorder="1"/>
    <xf numFmtId="166" fontId="0" fillId="0" borderId="2" xfId="1" applyNumberFormat="1" applyFont="1" applyFill="1" applyBorder="1"/>
    <xf numFmtId="166" fontId="4" fillId="0" borderId="2" xfId="1" applyNumberFormat="1" applyFont="1" applyBorder="1"/>
    <xf numFmtId="166" fontId="2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166" fontId="0" fillId="0" borderId="5" xfId="1" applyNumberFormat="1" applyFont="1" applyBorder="1"/>
    <xf numFmtId="0" fontId="0" fillId="0" borderId="2" xfId="0" applyBorder="1"/>
    <xf numFmtId="0" fontId="0" fillId="0" borderId="5" xfId="0" applyBorder="1"/>
    <xf numFmtId="0" fontId="2" fillId="0" borderId="5" xfId="0" applyFont="1" applyBorder="1"/>
    <xf numFmtId="167" fontId="0" fillId="0" borderId="0" xfId="0" applyNumberFormat="1"/>
    <xf numFmtId="0" fontId="4" fillId="0" borderId="0" xfId="0" applyFont="1"/>
    <xf numFmtId="0" fontId="7" fillId="0" borderId="0" xfId="0" applyFont="1" applyBorder="1" applyAlignment="1"/>
    <xf numFmtId="166" fontId="0" fillId="2" borderId="0" xfId="1" applyNumberFormat="1" applyFont="1" applyFill="1"/>
    <xf numFmtId="166" fontId="0" fillId="2" borderId="0" xfId="1" applyNumberFormat="1" applyFont="1" applyFill="1" applyBorder="1"/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2" borderId="2" xfId="0" applyFill="1" applyBorder="1"/>
    <xf numFmtId="166" fontId="15" fillId="0" borderId="0" xfId="1" applyNumberFormat="1" applyFont="1" applyBorder="1" applyAlignment="1">
      <alignment horizontal="center"/>
    </xf>
    <xf numFmtId="4" fontId="16" fillId="0" borderId="1" xfId="0" applyNumberFormat="1" applyFont="1" applyBorder="1"/>
    <xf numFmtId="4" fontId="0" fillId="0" borderId="3" xfId="0" applyNumberFormat="1" applyBorder="1"/>
    <xf numFmtId="4" fontId="0" fillId="5" borderId="3" xfId="0" applyNumberFormat="1" applyFill="1" applyBorder="1"/>
    <xf numFmtId="4" fontId="0" fillId="6" borderId="3" xfId="0" applyNumberFormat="1" applyFill="1" applyBorder="1"/>
    <xf numFmtId="4" fontId="0" fillId="6" borderId="15" xfId="0" applyNumberFormat="1" applyFill="1" applyBorder="1"/>
    <xf numFmtId="4" fontId="0" fillId="0" borderId="0" xfId="0" applyNumberFormat="1"/>
    <xf numFmtId="4" fontId="0" fillId="0" borderId="0" xfId="0" applyNumberFormat="1" applyBorder="1"/>
    <xf numFmtId="4" fontId="2" fillId="0" borderId="0" xfId="0" applyNumberFormat="1" applyFont="1" applyBorder="1"/>
    <xf numFmtId="4" fontId="2" fillId="5" borderId="0" xfId="0" applyNumberFormat="1" applyFont="1" applyFill="1" applyBorder="1"/>
    <xf numFmtId="4" fontId="2" fillId="6" borderId="0" xfId="0" applyNumberFormat="1" applyFont="1" applyFill="1" applyBorder="1"/>
    <xf numFmtId="4" fontId="2" fillId="6" borderId="16" xfId="0" applyNumberFormat="1" applyFont="1" applyFill="1" applyBorder="1"/>
    <xf numFmtId="4" fontId="0" fillId="0" borderId="1" xfId="0" applyNumberFormat="1" applyBorder="1"/>
    <xf numFmtId="4" fontId="2" fillId="0" borderId="1" xfId="0" applyNumberFormat="1" applyFont="1" applyBorder="1"/>
    <xf numFmtId="4" fontId="0" fillId="5" borderId="0" xfId="0" applyNumberFormat="1" applyFill="1" applyBorder="1"/>
    <xf numFmtId="4" fontId="0" fillId="6" borderId="0" xfId="0" applyNumberFormat="1" applyFill="1" applyBorder="1"/>
    <xf numFmtId="4" fontId="0" fillId="6" borderId="16" xfId="0" applyNumberFormat="1" applyFill="1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0" fillId="0" borderId="0" xfId="0" applyNumberFormat="1" applyFill="1"/>
    <xf numFmtId="4" fontId="0" fillId="7" borderId="0" xfId="0" applyNumberFormat="1" applyFill="1"/>
    <xf numFmtId="4" fontId="2" fillId="0" borderId="1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Font="1" applyBorder="1"/>
    <xf numFmtId="4" fontId="0" fillId="0" borderId="1" xfId="0" quotePrefix="1" applyNumberFormat="1" applyFill="1" applyBorder="1"/>
    <xf numFmtId="4" fontId="0" fillId="8" borderId="0" xfId="0" applyNumberFormat="1" applyFill="1"/>
    <xf numFmtId="4" fontId="0" fillId="2" borderId="0" xfId="0" applyNumberFormat="1" applyFill="1" applyBorder="1"/>
    <xf numFmtId="4" fontId="0" fillId="0" borderId="17" xfId="0" applyNumberFormat="1" applyBorder="1"/>
    <xf numFmtId="4" fontId="0" fillId="0" borderId="2" xfId="0" applyNumberFormat="1" applyBorder="1"/>
    <xf numFmtId="4" fontId="0" fillId="5" borderId="2" xfId="0" applyNumberFormat="1" applyFill="1" applyBorder="1"/>
    <xf numFmtId="4" fontId="0" fillId="6" borderId="2" xfId="0" applyNumberFormat="1" applyFill="1" applyBorder="1"/>
    <xf numFmtId="4" fontId="0" fillId="6" borderId="18" xfId="0" applyNumberFormat="1" applyFill="1" applyBorder="1"/>
    <xf numFmtId="4" fontId="0" fillId="5" borderId="0" xfId="0" applyNumberFormat="1" applyFill="1"/>
    <xf numFmtId="4" fontId="0" fillId="6" borderId="0" xfId="0" applyNumberFormat="1" applyFill="1"/>
    <xf numFmtId="0" fontId="2" fillId="0" borderId="6" xfId="0" applyFont="1" applyBorder="1"/>
    <xf numFmtId="165" fontId="0" fillId="0" borderId="6" xfId="1" applyFont="1" applyBorder="1"/>
    <xf numFmtId="0" fontId="0" fillId="0" borderId="6" xfId="0" applyFont="1" applyBorder="1"/>
    <xf numFmtId="0" fontId="0" fillId="2" borderId="6" xfId="0" applyFill="1" applyBorder="1"/>
    <xf numFmtId="166" fontId="0" fillId="2" borderId="6" xfId="1" applyNumberFormat="1" applyFont="1" applyFill="1" applyBorder="1"/>
    <xf numFmtId="0" fontId="0" fillId="9" borderId="6" xfId="0" applyFill="1" applyBorder="1"/>
    <xf numFmtId="166" fontId="0" fillId="9" borderId="6" xfId="1" applyNumberFormat="1" applyFont="1" applyFill="1" applyBorder="1"/>
    <xf numFmtId="4" fontId="2" fillId="5" borderId="0" xfId="0" applyNumberFormat="1" applyFont="1" applyFill="1" applyBorder="1" applyAlignment="1">
      <alignment horizontal="center"/>
    </xf>
    <xf numFmtId="4" fontId="2" fillId="6" borderId="0" xfId="0" applyNumberFormat="1" applyFont="1" applyFill="1" applyBorder="1" applyAlignment="1">
      <alignment horizontal="center"/>
    </xf>
    <xf numFmtId="4" fontId="16" fillId="0" borderId="0" xfId="0" applyNumberFormat="1" applyFont="1" applyBorder="1"/>
    <xf numFmtId="164" fontId="14" fillId="0" borderId="22" xfId="0" applyNumberFormat="1" applyFont="1" applyBorder="1"/>
    <xf numFmtId="164" fontId="17" fillId="0" borderId="4" xfId="0" applyNumberFormat="1" applyFont="1" applyBorder="1"/>
    <xf numFmtId="164" fontId="10" fillId="0" borderId="4" xfId="0" applyNumberFormat="1" applyFont="1" applyBorder="1" applyAlignment="1">
      <alignment horizontal="center"/>
    </xf>
    <xf numFmtId="164" fontId="10" fillId="0" borderId="3" xfId="0" applyNumberFormat="1" applyFont="1" applyBorder="1"/>
    <xf numFmtId="164" fontId="0" fillId="0" borderId="15" xfId="0" applyNumberFormat="1" applyBorder="1"/>
    <xf numFmtId="164" fontId="0" fillId="0" borderId="0" xfId="0" applyNumberFormat="1"/>
    <xf numFmtId="164" fontId="18" fillId="0" borderId="4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16" xfId="0" applyNumberFormat="1" applyBorder="1"/>
    <xf numFmtId="164" fontId="18" fillId="0" borderId="0" xfId="0" applyNumberFormat="1" applyFont="1" applyBorder="1"/>
    <xf numFmtId="164" fontId="0" fillId="0" borderId="1" xfId="0" applyNumberFormat="1" applyBorder="1"/>
    <xf numFmtId="164" fontId="2" fillId="0" borderId="0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18" xfId="0" applyNumberFormat="1" applyBorder="1"/>
    <xf numFmtId="164" fontId="0" fillId="0" borderId="0" xfId="0" applyNumberFormat="1" applyBorder="1" applyAlignment="1"/>
    <xf numFmtId="164" fontId="0" fillId="0" borderId="0" xfId="0" applyNumberFormat="1" applyBorder="1" applyAlignment="1">
      <alignment horizontal="center" vertical="center"/>
    </xf>
    <xf numFmtId="164" fontId="0" fillId="0" borderId="2" xfId="0" applyNumberFormat="1" applyBorder="1"/>
    <xf numFmtId="167" fontId="0" fillId="0" borderId="18" xfId="0" applyNumberFormat="1" applyFont="1" applyFill="1" applyBorder="1" applyAlignment="1">
      <alignment horizontal="right"/>
    </xf>
    <xf numFmtId="164" fontId="0" fillId="0" borderId="23" xfId="0" applyNumberFormat="1" applyBorder="1"/>
    <xf numFmtId="16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/>
    <xf numFmtId="164" fontId="10" fillId="0" borderId="0" xfId="0" applyNumberFormat="1" applyFont="1" applyBorder="1"/>
    <xf numFmtId="167" fontId="0" fillId="0" borderId="23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17" xfId="0" applyNumberFormat="1" applyBorder="1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164" fontId="0" fillId="0" borderId="0" xfId="0" applyNumberFormat="1" applyAlignment="1">
      <alignment horizontal="center"/>
    </xf>
    <xf numFmtId="0" fontId="0" fillId="0" borderId="6" xfId="0" applyFill="1" applyBorder="1"/>
    <xf numFmtId="0" fontId="0" fillId="0" borderId="22" xfId="0" applyBorder="1"/>
    <xf numFmtId="0" fontId="0" fillId="0" borderId="1" xfId="0" applyFill="1" applyBorder="1" applyAlignment="1">
      <alignment horizontal="center"/>
    </xf>
    <xf numFmtId="0" fontId="0" fillId="0" borderId="22" xfId="0" applyFill="1" applyBorder="1"/>
    <xf numFmtId="0" fontId="0" fillId="0" borderId="0" xfId="0" applyAlignment="1">
      <alignment wrapText="1"/>
    </xf>
    <xf numFmtId="0" fontId="0" fillId="0" borderId="24" xfId="0" applyBorder="1"/>
    <xf numFmtId="165" fontId="0" fillId="0" borderId="24" xfId="1" applyFont="1" applyBorder="1"/>
    <xf numFmtId="0" fontId="0" fillId="10" borderId="0" xfId="0" applyFill="1"/>
    <xf numFmtId="165" fontId="0" fillId="10" borderId="0" xfId="1" applyFont="1" applyFill="1"/>
    <xf numFmtId="0" fontId="0" fillId="0" borderId="0" xfId="0" applyAlignment="1">
      <alignment horizontal="center" vertical="center" wrapText="1"/>
    </xf>
    <xf numFmtId="0" fontId="4" fillId="0" borderId="6" xfId="0" applyFont="1" applyBorder="1"/>
    <xf numFmtId="165" fontId="15" fillId="0" borderId="6" xfId="1" applyFont="1" applyBorder="1"/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2" fillId="0" borderId="6" xfId="1" applyFont="1" applyBorder="1"/>
    <xf numFmtId="0" fontId="2" fillId="0" borderId="6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165" fontId="15" fillId="0" borderId="0" xfId="1" applyFont="1" applyAlignment="1">
      <alignment horizontal="center"/>
    </xf>
    <xf numFmtId="165" fontId="10" fillId="0" borderId="0" xfId="1" applyFont="1" applyAlignment="1">
      <alignment horizontal="center"/>
    </xf>
    <xf numFmtId="165" fontId="0" fillId="0" borderId="2" xfId="1" applyFont="1" applyBorder="1"/>
    <xf numFmtId="0" fontId="0" fillId="0" borderId="2" xfId="0" applyFont="1" applyFill="1" applyBorder="1"/>
    <xf numFmtId="165" fontId="0" fillId="0" borderId="0" xfId="1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14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" fontId="2" fillId="0" borderId="0" xfId="0" applyNumberFormat="1" applyFont="1" applyFill="1" applyBorder="1"/>
    <xf numFmtId="165" fontId="2" fillId="0" borderId="0" xfId="1" applyFont="1" applyFill="1" applyBorder="1" applyAlignment="1">
      <alignment horizontal="center" vertical="center"/>
    </xf>
    <xf numFmtId="165" fontId="2" fillId="0" borderId="0" xfId="1" applyFont="1" applyFill="1" applyBorder="1"/>
    <xf numFmtId="4" fontId="2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1"/>
  <sheetViews>
    <sheetView topLeftCell="A7" zoomScale="110" zoomScaleNormal="110" workbookViewId="0">
      <selection activeCell="E49" sqref="E49"/>
    </sheetView>
  </sheetViews>
  <sheetFormatPr defaultRowHeight="15"/>
  <cols>
    <col min="1" max="1" width="4.42578125" customWidth="1"/>
    <col min="2" max="2" width="23.5703125" customWidth="1"/>
    <col min="3" max="3" width="11.140625" customWidth="1"/>
    <col min="5" max="5" width="14" customWidth="1"/>
    <col min="6" max="6" width="4.5703125" customWidth="1"/>
    <col min="7" max="7" width="15" customWidth="1"/>
    <col min="9" max="9" width="18.28515625" bestFit="1" customWidth="1"/>
    <col min="10" max="10" width="13.7109375" bestFit="1" customWidth="1"/>
    <col min="13" max="13" width="10.7109375" bestFit="1" customWidth="1"/>
    <col min="14" max="14" width="13" customWidth="1"/>
    <col min="15" max="15" width="12.7109375" customWidth="1"/>
    <col min="258" max="258" width="23.5703125" customWidth="1"/>
    <col min="259" max="259" width="11.140625" customWidth="1"/>
    <col min="261" max="261" width="17" customWidth="1"/>
    <col min="262" max="262" width="15.7109375" customWidth="1"/>
    <col min="263" max="263" width="18" bestFit="1" customWidth="1"/>
    <col min="514" max="514" width="23.5703125" customWidth="1"/>
    <col min="515" max="515" width="11.140625" customWidth="1"/>
    <col min="517" max="517" width="17" customWidth="1"/>
    <col min="518" max="518" width="15.7109375" customWidth="1"/>
    <col min="519" max="519" width="18" bestFit="1" customWidth="1"/>
    <col min="770" max="770" width="23.5703125" customWidth="1"/>
    <col min="771" max="771" width="11.140625" customWidth="1"/>
    <col min="773" max="773" width="17" customWidth="1"/>
    <col min="774" max="774" width="15.7109375" customWidth="1"/>
    <col min="775" max="775" width="18" bestFit="1" customWidth="1"/>
    <col min="1026" max="1026" width="23.5703125" customWidth="1"/>
    <col min="1027" max="1027" width="11.140625" customWidth="1"/>
    <col min="1029" max="1029" width="17" customWidth="1"/>
    <col min="1030" max="1030" width="15.7109375" customWidth="1"/>
    <col min="1031" max="1031" width="18" bestFit="1" customWidth="1"/>
    <col min="1282" max="1282" width="23.5703125" customWidth="1"/>
    <col min="1283" max="1283" width="11.140625" customWidth="1"/>
    <col min="1285" max="1285" width="17" customWidth="1"/>
    <col min="1286" max="1286" width="15.7109375" customWidth="1"/>
    <col min="1287" max="1287" width="18" bestFit="1" customWidth="1"/>
    <col min="1538" max="1538" width="23.5703125" customWidth="1"/>
    <col min="1539" max="1539" width="11.140625" customWidth="1"/>
    <col min="1541" max="1541" width="17" customWidth="1"/>
    <col min="1542" max="1542" width="15.7109375" customWidth="1"/>
    <col min="1543" max="1543" width="18" bestFit="1" customWidth="1"/>
    <col min="1794" max="1794" width="23.5703125" customWidth="1"/>
    <col min="1795" max="1795" width="11.140625" customWidth="1"/>
    <col min="1797" max="1797" width="17" customWidth="1"/>
    <col min="1798" max="1798" width="15.7109375" customWidth="1"/>
    <col min="1799" max="1799" width="18" bestFit="1" customWidth="1"/>
    <col min="2050" max="2050" width="23.5703125" customWidth="1"/>
    <col min="2051" max="2051" width="11.140625" customWidth="1"/>
    <col min="2053" max="2053" width="17" customWidth="1"/>
    <col min="2054" max="2054" width="15.7109375" customWidth="1"/>
    <col min="2055" max="2055" width="18" bestFit="1" customWidth="1"/>
    <col min="2306" max="2306" width="23.5703125" customWidth="1"/>
    <col min="2307" max="2307" width="11.140625" customWidth="1"/>
    <col min="2309" max="2309" width="17" customWidth="1"/>
    <col min="2310" max="2310" width="15.7109375" customWidth="1"/>
    <col min="2311" max="2311" width="18" bestFit="1" customWidth="1"/>
    <col min="2562" max="2562" width="23.5703125" customWidth="1"/>
    <col min="2563" max="2563" width="11.140625" customWidth="1"/>
    <col min="2565" max="2565" width="17" customWidth="1"/>
    <col min="2566" max="2566" width="15.7109375" customWidth="1"/>
    <col min="2567" max="2567" width="18" bestFit="1" customWidth="1"/>
    <col min="2818" max="2818" width="23.5703125" customWidth="1"/>
    <col min="2819" max="2819" width="11.140625" customWidth="1"/>
    <col min="2821" max="2821" width="17" customWidth="1"/>
    <col min="2822" max="2822" width="15.7109375" customWidth="1"/>
    <col min="2823" max="2823" width="18" bestFit="1" customWidth="1"/>
    <col min="3074" max="3074" width="23.5703125" customWidth="1"/>
    <col min="3075" max="3075" width="11.140625" customWidth="1"/>
    <col min="3077" max="3077" width="17" customWidth="1"/>
    <col min="3078" max="3078" width="15.7109375" customWidth="1"/>
    <col min="3079" max="3079" width="18" bestFit="1" customWidth="1"/>
    <col min="3330" max="3330" width="23.5703125" customWidth="1"/>
    <col min="3331" max="3331" width="11.140625" customWidth="1"/>
    <col min="3333" max="3333" width="17" customWidth="1"/>
    <col min="3334" max="3334" width="15.7109375" customWidth="1"/>
    <col min="3335" max="3335" width="18" bestFit="1" customWidth="1"/>
    <col min="3586" max="3586" width="23.5703125" customWidth="1"/>
    <col min="3587" max="3587" width="11.140625" customWidth="1"/>
    <col min="3589" max="3589" width="17" customWidth="1"/>
    <col min="3590" max="3590" width="15.7109375" customWidth="1"/>
    <col min="3591" max="3591" width="18" bestFit="1" customWidth="1"/>
    <col min="3842" max="3842" width="23.5703125" customWidth="1"/>
    <col min="3843" max="3843" width="11.140625" customWidth="1"/>
    <col min="3845" max="3845" width="17" customWidth="1"/>
    <col min="3846" max="3846" width="15.7109375" customWidth="1"/>
    <col min="3847" max="3847" width="18" bestFit="1" customWidth="1"/>
    <col min="4098" max="4098" width="23.5703125" customWidth="1"/>
    <col min="4099" max="4099" width="11.140625" customWidth="1"/>
    <col min="4101" max="4101" width="17" customWidth="1"/>
    <col min="4102" max="4102" width="15.7109375" customWidth="1"/>
    <col min="4103" max="4103" width="18" bestFit="1" customWidth="1"/>
    <col min="4354" max="4354" width="23.5703125" customWidth="1"/>
    <col min="4355" max="4355" width="11.140625" customWidth="1"/>
    <col min="4357" max="4357" width="17" customWidth="1"/>
    <col min="4358" max="4358" width="15.7109375" customWidth="1"/>
    <col min="4359" max="4359" width="18" bestFit="1" customWidth="1"/>
    <col min="4610" max="4610" width="23.5703125" customWidth="1"/>
    <col min="4611" max="4611" width="11.140625" customWidth="1"/>
    <col min="4613" max="4613" width="17" customWidth="1"/>
    <col min="4614" max="4614" width="15.7109375" customWidth="1"/>
    <col min="4615" max="4615" width="18" bestFit="1" customWidth="1"/>
    <col min="4866" max="4866" width="23.5703125" customWidth="1"/>
    <col min="4867" max="4867" width="11.140625" customWidth="1"/>
    <col min="4869" max="4869" width="17" customWidth="1"/>
    <col min="4870" max="4870" width="15.7109375" customWidth="1"/>
    <col min="4871" max="4871" width="18" bestFit="1" customWidth="1"/>
    <col min="5122" max="5122" width="23.5703125" customWidth="1"/>
    <col min="5123" max="5123" width="11.140625" customWidth="1"/>
    <col min="5125" max="5125" width="17" customWidth="1"/>
    <col min="5126" max="5126" width="15.7109375" customWidth="1"/>
    <col min="5127" max="5127" width="18" bestFit="1" customWidth="1"/>
    <col min="5378" max="5378" width="23.5703125" customWidth="1"/>
    <col min="5379" max="5379" width="11.140625" customWidth="1"/>
    <col min="5381" max="5381" width="17" customWidth="1"/>
    <col min="5382" max="5382" width="15.7109375" customWidth="1"/>
    <col min="5383" max="5383" width="18" bestFit="1" customWidth="1"/>
    <col min="5634" max="5634" width="23.5703125" customWidth="1"/>
    <col min="5635" max="5635" width="11.140625" customWidth="1"/>
    <col min="5637" max="5637" width="17" customWidth="1"/>
    <col min="5638" max="5638" width="15.7109375" customWidth="1"/>
    <col min="5639" max="5639" width="18" bestFit="1" customWidth="1"/>
    <col min="5890" max="5890" width="23.5703125" customWidth="1"/>
    <col min="5891" max="5891" width="11.140625" customWidth="1"/>
    <col min="5893" max="5893" width="17" customWidth="1"/>
    <col min="5894" max="5894" width="15.7109375" customWidth="1"/>
    <col min="5895" max="5895" width="18" bestFit="1" customWidth="1"/>
    <col min="6146" max="6146" width="23.5703125" customWidth="1"/>
    <col min="6147" max="6147" width="11.140625" customWidth="1"/>
    <col min="6149" max="6149" width="17" customWidth="1"/>
    <col min="6150" max="6150" width="15.7109375" customWidth="1"/>
    <col min="6151" max="6151" width="18" bestFit="1" customWidth="1"/>
    <col min="6402" max="6402" width="23.5703125" customWidth="1"/>
    <col min="6403" max="6403" width="11.140625" customWidth="1"/>
    <col min="6405" max="6405" width="17" customWidth="1"/>
    <col min="6406" max="6406" width="15.7109375" customWidth="1"/>
    <col min="6407" max="6407" width="18" bestFit="1" customWidth="1"/>
    <col min="6658" max="6658" width="23.5703125" customWidth="1"/>
    <col min="6659" max="6659" width="11.140625" customWidth="1"/>
    <col min="6661" max="6661" width="17" customWidth="1"/>
    <col min="6662" max="6662" width="15.7109375" customWidth="1"/>
    <col min="6663" max="6663" width="18" bestFit="1" customWidth="1"/>
    <col min="6914" max="6914" width="23.5703125" customWidth="1"/>
    <col min="6915" max="6915" width="11.140625" customWidth="1"/>
    <col min="6917" max="6917" width="17" customWidth="1"/>
    <col min="6918" max="6918" width="15.7109375" customWidth="1"/>
    <col min="6919" max="6919" width="18" bestFit="1" customWidth="1"/>
    <col min="7170" max="7170" width="23.5703125" customWidth="1"/>
    <col min="7171" max="7171" width="11.140625" customWidth="1"/>
    <col min="7173" max="7173" width="17" customWidth="1"/>
    <col min="7174" max="7174" width="15.7109375" customWidth="1"/>
    <col min="7175" max="7175" width="18" bestFit="1" customWidth="1"/>
    <col min="7426" max="7426" width="23.5703125" customWidth="1"/>
    <col min="7427" max="7427" width="11.140625" customWidth="1"/>
    <col min="7429" max="7429" width="17" customWidth="1"/>
    <col min="7430" max="7430" width="15.7109375" customWidth="1"/>
    <col min="7431" max="7431" width="18" bestFit="1" customWidth="1"/>
    <col min="7682" max="7682" width="23.5703125" customWidth="1"/>
    <col min="7683" max="7683" width="11.140625" customWidth="1"/>
    <col min="7685" max="7685" width="17" customWidth="1"/>
    <col min="7686" max="7686" width="15.7109375" customWidth="1"/>
    <col min="7687" max="7687" width="18" bestFit="1" customWidth="1"/>
    <col min="7938" max="7938" width="23.5703125" customWidth="1"/>
    <col min="7939" max="7939" width="11.140625" customWidth="1"/>
    <col min="7941" max="7941" width="17" customWidth="1"/>
    <col min="7942" max="7942" width="15.7109375" customWidth="1"/>
    <col min="7943" max="7943" width="18" bestFit="1" customWidth="1"/>
    <col min="8194" max="8194" width="23.5703125" customWidth="1"/>
    <col min="8195" max="8195" width="11.140625" customWidth="1"/>
    <col min="8197" max="8197" width="17" customWidth="1"/>
    <col min="8198" max="8198" width="15.7109375" customWidth="1"/>
    <col min="8199" max="8199" width="18" bestFit="1" customWidth="1"/>
    <col min="8450" max="8450" width="23.5703125" customWidth="1"/>
    <col min="8451" max="8451" width="11.140625" customWidth="1"/>
    <col min="8453" max="8453" width="17" customWidth="1"/>
    <col min="8454" max="8454" width="15.7109375" customWidth="1"/>
    <col min="8455" max="8455" width="18" bestFit="1" customWidth="1"/>
    <col min="8706" max="8706" width="23.5703125" customWidth="1"/>
    <col min="8707" max="8707" width="11.140625" customWidth="1"/>
    <col min="8709" max="8709" width="17" customWidth="1"/>
    <col min="8710" max="8710" width="15.7109375" customWidth="1"/>
    <col min="8711" max="8711" width="18" bestFit="1" customWidth="1"/>
    <col min="8962" max="8962" width="23.5703125" customWidth="1"/>
    <col min="8963" max="8963" width="11.140625" customWidth="1"/>
    <col min="8965" max="8965" width="17" customWidth="1"/>
    <col min="8966" max="8966" width="15.7109375" customWidth="1"/>
    <col min="8967" max="8967" width="18" bestFit="1" customWidth="1"/>
    <col min="9218" max="9218" width="23.5703125" customWidth="1"/>
    <col min="9219" max="9219" width="11.140625" customWidth="1"/>
    <col min="9221" max="9221" width="17" customWidth="1"/>
    <col min="9222" max="9222" width="15.7109375" customWidth="1"/>
    <col min="9223" max="9223" width="18" bestFit="1" customWidth="1"/>
    <col min="9474" max="9474" width="23.5703125" customWidth="1"/>
    <col min="9475" max="9475" width="11.140625" customWidth="1"/>
    <col min="9477" max="9477" width="17" customWidth="1"/>
    <col min="9478" max="9478" width="15.7109375" customWidth="1"/>
    <col min="9479" max="9479" width="18" bestFit="1" customWidth="1"/>
    <col min="9730" max="9730" width="23.5703125" customWidth="1"/>
    <col min="9731" max="9731" width="11.140625" customWidth="1"/>
    <col min="9733" max="9733" width="17" customWidth="1"/>
    <col min="9734" max="9734" width="15.7109375" customWidth="1"/>
    <col min="9735" max="9735" width="18" bestFit="1" customWidth="1"/>
    <col min="9986" max="9986" width="23.5703125" customWidth="1"/>
    <col min="9987" max="9987" width="11.140625" customWidth="1"/>
    <col min="9989" max="9989" width="17" customWidth="1"/>
    <col min="9990" max="9990" width="15.7109375" customWidth="1"/>
    <col min="9991" max="9991" width="18" bestFit="1" customWidth="1"/>
    <col min="10242" max="10242" width="23.5703125" customWidth="1"/>
    <col min="10243" max="10243" width="11.140625" customWidth="1"/>
    <col min="10245" max="10245" width="17" customWidth="1"/>
    <col min="10246" max="10246" width="15.7109375" customWidth="1"/>
    <col min="10247" max="10247" width="18" bestFit="1" customWidth="1"/>
    <col min="10498" max="10498" width="23.5703125" customWidth="1"/>
    <col min="10499" max="10499" width="11.140625" customWidth="1"/>
    <col min="10501" max="10501" width="17" customWidth="1"/>
    <col min="10502" max="10502" width="15.7109375" customWidth="1"/>
    <col min="10503" max="10503" width="18" bestFit="1" customWidth="1"/>
    <col min="10754" max="10754" width="23.5703125" customWidth="1"/>
    <col min="10755" max="10755" width="11.140625" customWidth="1"/>
    <col min="10757" max="10757" width="17" customWidth="1"/>
    <col min="10758" max="10758" width="15.7109375" customWidth="1"/>
    <col min="10759" max="10759" width="18" bestFit="1" customWidth="1"/>
    <col min="11010" max="11010" width="23.5703125" customWidth="1"/>
    <col min="11011" max="11011" width="11.140625" customWidth="1"/>
    <col min="11013" max="11013" width="17" customWidth="1"/>
    <col min="11014" max="11014" width="15.7109375" customWidth="1"/>
    <col min="11015" max="11015" width="18" bestFit="1" customWidth="1"/>
    <col min="11266" max="11266" width="23.5703125" customWidth="1"/>
    <col min="11267" max="11267" width="11.140625" customWidth="1"/>
    <col min="11269" max="11269" width="17" customWidth="1"/>
    <col min="11270" max="11270" width="15.7109375" customWidth="1"/>
    <col min="11271" max="11271" width="18" bestFit="1" customWidth="1"/>
    <col min="11522" max="11522" width="23.5703125" customWidth="1"/>
    <col min="11523" max="11523" width="11.140625" customWidth="1"/>
    <col min="11525" max="11525" width="17" customWidth="1"/>
    <col min="11526" max="11526" width="15.7109375" customWidth="1"/>
    <col min="11527" max="11527" width="18" bestFit="1" customWidth="1"/>
    <col min="11778" max="11778" width="23.5703125" customWidth="1"/>
    <col min="11779" max="11779" width="11.140625" customWidth="1"/>
    <col min="11781" max="11781" width="17" customWidth="1"/>
    <col min="11782" max="11782" width="15.7109375" customWidth="1"/>
    <col min="11783" max="11783" width="18" bestFit="1" customWidth="1"/>
    <col min="12034" max="12034" width="23.5703125" customWidth="1"/>
    <col min="12035" max="12035" width="11.140625" customWidth="1"/>
    <col min="12037" max="12037" width="17" customWidth="1"/>
    <col min="12038" max="12038" width="15.7109375" customWidth="1"/>
    <col min="12039" max="12039" width="18" bestFit="1" customWidth="1"/>
    <col min="12290" max="12290" width="23.5703125" customWidth="1"/>
    <col min="12291" max="12291" width="11.140625" customWidth="1"/>
    <col min="12293" max="12293" width="17" customWidth="1"/>
    <col min="12294" max="12294" width="15.7109375" customWidth="1"/>
    <col min="12295" max="12295" width="18" bestFit="1" customWidth="1"/>
    <col min="12546" max="12546" width="23.5703125" customWidth="1"/>
    <col min="12547" max="12547" width="11.140625" customWidth="1"/>
    <col min="12549" max="12549" width="17" customWidth="1"/>
    <col min="12550" max="12550" width="15.7109375" customWidth="1"/>
    <col min="12551" max="12551" width="18" bestFit="1" customWidth="1"/>
    <col min="12802" max="12802" width="23.5703125" customWidth="1"/>
    <col min="12803" max="12803" width="11.140625" customWidth="1"/>
    <col min="12805" max="12805" width="17" customWidth="1"/>
    <col min="12806" max="12806" width="15.7109375" customWidth="1"/>
    <col min="12807" max="12807" width="18" bestFit="1" customWidth="1"/>
    <col min="13058" max="13058" width="23.5703125" customWidth="1"/>
    <col min="13059" max="13059" width="11.140625" customWidth="1"/>
    <col min="13061" max="13061" width="17" customWidth="1"/>
    <col min="13062" max="13062" width="15.7109375" customWidth="1"/>
    <col min="13063" max="13063" width="18" bestFit="1" customWidth="1"/>
    <col min="13314" max="13314" width="23.5703125" customWidth="1"/>
    <col min="13315" max="13315" width="11.140625" customWidth="1"/>
    <col min="13317" max="13317" width="17" customWidth="1"/>
    <col min="13318" max="13318" width="15.7109375" customWidth="1"/>
    <col min="13319" max="13319" width="18" bestFit="1" customWidth="1"/>
    <col min="13570" max="13570" width="23.5703125" customWidth="1"/>
    <col min="13571" max="13571" width="11.140625" customWidth="1"/>
    <col min="13573" max="13573" width="17" customWidth="1"/>
    <col min="13574" max="13574" width="15.7109375" customWidth="1"/>
    <col min="13575" max="13575" width="18" bestFit="1" customWidth="1"/>
    <col min="13826" max="13826" width="23.5703125" customWidth="1"/>
    <col min="13827" max="13827" width="11.140625" customWidth="1"/>
    <col min="13829" max="13829" width="17" customWidth="1"/>
    <col min="13830" max="13830" width="15.7109375" customWidth="1"/>
    <col min="13831" max="13831" width="18" bestFit="1" customWidth="1"/>
    <col min="14082" max="14082" width="23.5703125" customWidth="1"/>
    <col min="14083" max="14083" width="11.140625" customWidth="1"/>
    <col min="14085" max="14085" width="17" customWidth="1"/>
    <col min="14086" max="14086" width="15.7109375" customWidth="1"/>
    <col min="14087" max="14087" width="18" bestFit="1" customWidth="1"/>
    <col min="14338" max="14338" width="23.5703125" customWidth="1"/>
    <col min="14339" max="14339" width="11.140625" customWidth="1"/>
    <col min="14341" max="14341" width="17" customWidth="1"/>
    <col min="14342" max="14342" width="15.7109375" customWidth="1"/>
    <col min="14343" max="14343" width="18" bestFit="1" customWidth="1"/>
    <col min="14594" max="14594" width="23.5703125" customWidth="1"/>
    <col min="14595" max="14595" width="11.140625" customWidth="1"/>
    <col min="14597" max="14597" width="17" customWidth="1"/>
    <col min="14598" max="14598" width="15.7109375" customWidth="1"/>
    <col min="14599" max="14599" width="18" bestFit="1" customWidth="1"/>
    <col min="14850" max="14850" width="23.5703125" customWidth="1"/>
    <col min="14851" max="14851" width="11.140625" customWidth="1"/>
    <col min="14853" max="14853" width="17" customWidth="1"/>
    <col min="14854" max="14854" width="15.7109375" customWidth="1"/>
    <col min="14855" max="14855" width="18" bestFit="1" customWidth="1"/>
    <col min="15106" max="15106" width="23.5703125" customWidth="1"/>
    <col min="15107" max="15107" width="11.140625" customWidth="1"/>
    <col min="15109" max="15109" width="17" customWidth="1"/>
    <col min="15110" max="15110" width="15.7109375" customWidth="1"/>
    <col min="15111" max="15111" width="18" bestFit="1" customWidth="1"/>
    <col min="15362" max="15362" width="23.5703125" customWidth="1"/>
    <col min="15363" max="15363" width="11.140625" customWidth="1"/>
    <col min="15365" max="15365" width="17" customWidth="1"/>
    <col min="15366" max="15366" width="15.7109375" customWidth="1"/>
    <col min="15367" max="15367" width="18" bestFit="1" customWidth="1"/>
    <col min="15618" max="15618" width="23.5703125" customWidth="1"/>
    <col min="15619" max="15619" width="11.140625" customWidth="1"/>
    <col min="15621" max="15621" width="17" customWidth="1"/>
    <col min="15622" max="15622" width="15.7109375" customWidth="1"/>
    <col min="15623" max="15623" width="18" bestFit="1" customWidth="1"/>
    <col min="15874" max="15874" width="23.5703125" customWidth="1"/>
    <col min="15875" max="15875" width="11.140625" customWidth="1"/>
    <col min="15877" max="15877" width="17" customWidth="1"/>
    <col min="15878" max="15878" width="15.7109375" customWidth="1"/>
    <col min="15879" max="15879" width="18" bestFit="1" customWidth="1"/>
    <col min="16130" max="16130" width="23.5703125" customWidth="1"/>
    <col min="16131" max="16131" width="11.140625" customWidth="1"/>
    <col min="16133" max="16133" width="17" customWidth="1"/>
    <col min="16134" max="16134" width="15.7109375" customWidth="1"/>
    <col min="16135" max="16135" width="18" bestFit="1" customWidth="1"/>
  </cols>
  <sheetData>
    <row r="1" spans="2:15" ht="18.75">
      <c r="B1" s="196" t="s">
        <v>23</v>
      </c>
      <c r="C1" s="196"/>
      <c r="D1" s="196"/>
      <c r="E1" s="196"/>
      <c r="H1" s="1"/>
    </row>
    <row r="2" spans="2:15" ht="18.75">
      <c r="B2" s="93" t="s">
        <v>326</v>
      </c>
      <c r="C2" s="36"/>
      <c r="D2" s="36"/>
      <c r="E2" s="36"/>
      <c r="H2" s="1"/>
    </row>
    <row r="3" spans="2:15">
      <c r="E3" s="5" t="s">
        <v>0</v>
      </c>
      <c r="F3" s="6"/>
      <c r="G3" s="5" t="s">
        <v>1</v>
      </c>
      <c r="N3" s="197" t="s">
        <v>233</v>
      </c>
      <c r="O3" s="197"/>
    </row>
    <row r="4" spans="2:15">
      <c r="B4" t="s">
        <v>2</v>
      </c>
      <c r="E4" s="8">
        <v>142453443</v>
      </c>
      <c r="N4" t="s">
        <v>232</v>
      </c>
      <c r="O4" s="7" t="s">
        <v>231</v>
      </c>
    </row>
    <row r="5" spans="2:15">
      <c r="B5" t="s">
        <v>3</v>
      </c>
      <c r="E5" s="8">
        <v>4990382</v>
      </c>
      <c r="N5" s="7">
        <v>5865500</v>
      </c>
      <c r="O5" s="7">
        <v>555000</v>
      </c>
    </row>
    <row r="6" spans="2:15">
      <c r="B6" t="s">
        <v>4</v>
      </c>
      <c r="E6" s="8">
        <v>4927786.07</v>
      </c>
      <c r="N6" s="7">
        <v>6080000</v>
      </c>
      <c r="O6" s="7">
        <v>552500</v>
      </c>
    </row>
    <row r="7" spans="2:15">
      <c r="B7" t="s">
        <v>5</v>
      </c>
      <c r="E7" s="8">
        <v>1880010</v>
      </c>
      <c r="G7" s="2"/>
      <c r="N7" s="7">
        <v>5752000</v>
      </c>
      <c r="O7" s="7">
        <v>457500</v>
      </c>
    </row>
    <row r="8" spans="2:15">
      <c r="B8" s="1" t="s">
        <v>6</v>
      </c>
      <c r="N8" s="7">
        <v>6371000</v>
      </c>
      <c r="O8" s="7">
        <v>473500</v>
      </c>
    </row>
    <row r="9" spans="2:15">
      <c r="B9" s="3" t="s">
        <v>7</v>
      </c>
      <c r="G9" s="2">
        <v>18571275.859999999</v>
      </c>
      <c r="N9" s="7">
        <v>6391000</v>
      </c>
      <c r="O9" s="7">
        <v>495500</v>
      </c>
    </row>
    <row r="10" spans="2:15">
      <c r="B10" s="3" t="s">
        <v>8</v>
      </c>
      <c r="G10" s="66">
        <v>23657352.300000001</v>
      </c>
      <c r="N10" s="7">
        <v>6779500</v>
      </c>
      <c r="O10" s="7">
        <v>557500</v>
      </c>
    </row>
    <row r="11" spans="2:15">
      <c r="B11" s="3" t="s">
        <v>9</v>
      </c>
      <c r="G11" s="2">
        <v>21852736</v>
      </c>
      <c r="N11" s="7">
        <v>6829000</v>
      </c>
      <c r="O11" s="7">
        <v>580000</v>
      </c>
    </row>
    <row r="12" spans="2:15">
      <c r="B12" s="3" t="s">
        <v>10</v>
      </c>
      <c r="G12" s="2">
        <v>4468682</v>
      </c>
      <c r="N12" s="7">
        <v>6602500</v>
      </c>
      <c r="O12" s="7">
        <v>595000</v>
      </c>
    </row>
    <row r="13" spans="2:15">
      <c r="B13" s="4" t="s">
        <v>45</v>
      </c>
      <c r="N13" s="7">
        <v>6753000</v>
      </c>
      <c r="O13" s="7">
        <v>595000</v>
      </c>
    </row>
    <row r="14" spans="2:15">
      <c r="B14" s="3" t="s">
        <v>24</v>
      </c>
      <c r="E14" s="2">
        <v>394143.6</v>
      </c>
      <c r="N14" s="7">
        <v>6458500</v>
      </c>
      <c r="O14" s="7">
        <v>602500</v>
      </c>
    </row>
    <row r="15" spans="2:15">
      <c r="B15" s="3" t="s">
        <v>25</v>
      </c>
      <c r="E15" s="2">
        <v>6810430.6600000001</v>
      </c>
      <c r="N15" s="7">
        <v>6351000</v>
      </c>
      <c r="O15" s="7">
        <v>520000</v>
      </c>
    </row>
    <row r="16" spans="2:15">
      <c r="B16" s="3" t="s">
        <v>11</v>
      </c>
      <c r="E16" s="2">
        <v>11630539.58</v>
      </c>
      <c r="N16" s="7">
        <v>6509000</v>
      </c>
      <c r="O16" s="7">
        <v>660000</v>
      </c>
    </row>
    <row r="17" spans="2:15">
      <c r="B17" s="3" t="s">
        <v>26</v>
      </c>
      <c r="E17" s="2">
        <v>15910045.73</v>
      </c>
      <c r="G17" s="2"/>
      <c r="N17" s="7">
        <f>SUM(N5:N16)</f>
        <v>76742000</v>
      </c>
      <c r="O17" s="7">
        <f>SUM(O5:O16)</f>
        <v>6644000</v>
      </c>
    </row>
    <row r="18" spans="2:15">
      <c r="B18" s="19" t="s">
        <v>44</v>
      </c>
      <c r="E18" s="9">
        <v>0</v>
      </c>
    </row>
    <row r="19" spans="2:15">
      <c r="B19" t="s">
        <v>75</v>
      </c>
      <c r="E19" s="2">
        <v>7763319.7000000002</v>
      </c>
      <c r="O19" s="57">
        <f>N17-O17</f>
        <v>70098000</v>
      </c>
    </row>
    <row r="20" spans="2:15">
      <c r="B20" t="s">
        <v>27</v>
      </c>
      <c r="E20" s="2">
        <v>6381879</v>
      </c>
    </row>
    <row r="21" spans="2:15">
      <c r="B21" t="s">
        <v>12</v>
      </c>
      <c r="E21" s="9">
        <v>0</v>
      </c>
    </row>
    <row r="22" spans="2:15">
      <c r="B22" t="s">
        <v>13</v>
      </c>
      <c r="E22" s="2">
        <f>3343000-2078000</f>
        <v>1265000</v>
      </c>
    </row>
    <row r="23" spans="2:15">
      <c r="B23" t="s">
        <v>14</v>
      </c>
      <c r="E23" s="9">
        <v>0</v>
      </c>
    </row>
    <row r="24" spans="2:15">
      <c r="B24" t="s">
        <v>105</v>
      </c>
      <c r="E24" s="2">
        <v>8039032.2999999998</v>
      </c>
    </row>
    <row r="25" spans="2:15">
      <c r="B25" t="s">
        <v>63</v>
      </c>
      <c r="E25" s="2">
        <v>27676432.239999998</v>
      </c>
    </row>
    <row r="26" spans="2:15">
      <c r="B26" t="s">
        <v>89</v>
      </c>
      <c r="E26" s="2">
        <v>5456994.1299999999</v>
      </c>
    </row>
    <row r="27" spans="2:15">
      <c r="B27" t="s">
        <v>90</v>
      </c>
      <c r="E27" s="2">
        <v>20810410</v>
      </c>
    </row>
    <row r="28" spans="2:15">
      <c r="B28" t="s">
        <v>52</v>
      </c>
      <c r="E28" s="2">
        <v>5924958.25</v>
      </c>
    </row>
    <row r="29" spans="2:15">
      <c r="B29" t="s">
        <v>51</v>
      </c>
      <c r="E29" s="2">
        <v>76742000</v>
      </c>
    </row>
    <row r="30" spans="2:15">
      <c r="B30" t="s">
        <v>91</v>
      </c>
      <c r="E30" s="2">
        <v>2189166.12</v>
      </c>
    </row>
    <row r="31" spans="2:15">
      <c r="B31" t="s">
        <v>92</v>
      </c>
      <c r="E31" s="2">
        <v>1218600</v>
      </c>
    </row>
    <row r="32" spans="2:15">
      <c r="B32" t="s">
        <v>93</v>
      </c>
      <c r="E32" s="2">
        <v>1632450</v>
      </c>
    </row>
    <row r="33" spans="2:7">
      <c r="B33" t="s">
        <v>95</v>
      </c>
      <c r="E33" s="2">
        <f>825775.98+400000</f>
        <v>1225775.98</v>
      </c>
    </row>
    <row r="34" spans="2:7">
      <c r="B34" t="s">
        <v>94</v>
      </c>
      <c r="E34" s="2">
        <v>16019833</v>
      </c>
    </row>
    <row r="35" spans="2:7">
      <c r="B35" t="s">
        <v>96</v>
      </c>
      <c r="E35" s="2">
        <v>84958087</v>
      </c>
    </row>
    <row r="36" spans="2:7">
      <c r="B36" t="s">
        <v>97</v>
      </c>
      <c r="E36" s="2">
        <v>145875464.41999999</v>
      </c>
    </row>
    <row r="37" spans="2:7">
      <c r="B37" t="s">
        <v>599</v>
      </c>
      <c r="E37" s="2">
        <v>469862</v>
      </c>
    </row>
    <row r="38" spans="2:7">
      <c r="B38" t="s">
        <v>64</v>
      </c>
      <c r="E38" s="2">
        <v>368560</v>
      </c>
    </row>
    <row r="39" spans="2:7">
      <c r="B39" t="s">
        <v>99</v>
      </c>
      <c r="E39" s="2">
        <v>1587492</v>
      </c>
    </row>
    <row r="40" spans="2:7">
      <c r="B40" t="s">
        <v>100</v>
      </c>
      <c r="E40" s="2">
        <v>8039033.5</v>
      </c>
    </row>
    <row r="41" spans="2:7">
      <c r="B41" t="s">
        <v>247</v>
      </c>
      <c r="E41" s="2">
        <v>360276.02</v>
      </c>
    </row>
    <row r="42" spans="2:7">
      <c r="B42" t="s">
        <v>101</v>
      </c>
      <c r="E42" s="2">
        <v>469462.5</v>
      </c>
    </row>
    <row r="43" spans="2:7">
      <c r="B43" t="s">
        <v>257</v>
      </c>
      <c r="E43" s="2">
        <v>30000</v>
      </c>
    </row>
    <row r="44" spans="2:7">
      <c r="B44" t="s">
        <v>102</v>
      </c>
      <c r="E44" s="2">
        <v>6208500</v>
      </c>
    </row>
    <row r="45" spans="2:7">
      <c r="B45" t="s">
        <v>106</v>
      </c>
      <c r="E45" s="2">
        <v>2843268.05</v>
      </c>
    </row>
    <row r="46" spans="2:7">
      <c r="B46" t="s">
        <v>285</v>
      </c>
      <c r="E46" s="2">
        <v>2000000</v>
      </c>
    </row>
    <row r="47" spans="2:7">
      <c r="B47" t="s">
        <v>103</v>
      </c>
      <c r="E47" s="2">
        <v>259642</v>
      </c>
    </row>
    <row r="48" spans="2:7">
      <c r="B48" t="s">
        <v>104</v>
      </c>
      <c r="E48" s="2"/>
      <c r="F48" s="9"/>
      <c r="G48" s="7">
        <v>655740945</v>
      </c>
    </row>
    <row r="49" spans="2:10">
      <c r="B49" t="s">
        <v>316</v>
      </c>
      <c r="E49" s="2">
        <f>199172159+88274221</f>
        <v>287446380</v>
      </c>
    </row>
    <row r="50" spans="2:10">
      <c r="B50" t="s">
        <v>317</v>
      </c>
      <c r="E50" s="2">
        <v>155000</v>
      </c>
    </row>
    <row r="51" spans="2:10">
      <c r="B51" t="s">
        <v>600</v>
      </c>
      <c r="E51" s="2">
        <v>240000</v>
      </c>
    </row>
    <row r="52" spans="2:10">
      <c r="B52" t="s">
        <v>15</v>
      </c>
      <c r="E52" s="2"/>
      <c r="G52" s="2">
        <v>3587607</v>
      </c>
      <c r="J52" s="2"/>
    </row>
    <row r="53" spans="2:10">
      <c r="B53" t="s">
        <v>16</v>
      </c>
      <c r="E53" s="7"/>
      <c r="G53" s="2">
        <v>0</v>
      </c>
    </row>
    <row r="54" spans="2:10">
      <c r="B54" s="4" t="s">
        <v>230</v>
      </c>
      <c r="E54" s="7"/>
      <c r="G54" s="2"/>
    </row>
    <row r="55" spans="2:10">
      <c r="B55" s="3" t="s">
        <v>17</v>
      </c>
      <c r="E55" s="7"/>
      <c r="G55" s="2" t="s">
        <v>28</v>
      </c>
    </row>
    <row r="56" spans="2:10">
      <c r="B56" s="3" t="s">
        <v>18</v>
      </c>
      <c r="E56" s="7"/>
      <c r="G56" s="2" t="s">
        <v>28</v>
      </c>
    </row>
    <row r="57" spans="2:10">
      <c r="B57" s="3" t="s">
        <v>19</v>
      </c>
      <c r="E57" s="7"/>
      <c r="G57" s="2">
        <v>12500000</v>
      </c>
    </row>
    <row r="58" spans="2:10">
      <c r="B58" s="3" t="s">
        <v>20</v>
      </c>
      <c r="E58" s="7"/>
      <c r="G58" s="2">
        <v>303315858</v>
      </c>
    </row>
    <row r="59" spans="2:10">
      <c r="B59" s="3" t="s">
        <v>21</v>
      </c>
      <c r="E59" s="7"/>
      <c r="G59" s="2" t="s">
        <v>28</v>
      </c>
    </row>
    <row r="60" spans="2:10">
      <c r="G60" s="2"/>
    </row>
    <row r="61" spans="2:10">
      <c r="D61" s="1" t="s">
        <v>22</v>
      </c>
      <c r="E61" s="2">
        <f>SUM(E4:E60)</f>
        <v>912653658.8499999</v>
      </c>
      <c r="G61" s="65">
        <f>SUM(G4:G60)</f>
        <v>1043694456.16</v>
      </c>
      <c r="I61" s="2">
        <f>G61-E61</f>
        <v>131040797.31000006</v>
      </c>
    </row>
  </sheetData>
  <mergeCells count="2">
    <mergeCell ref="B1:E1"/>
    <mergeCell ref="N3:O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01"/>
  <sheetViews>
    <sheetView tabSelected="1" topLeftCell="A10" workbookViewId="0">
      <pane ySplit="1590" topLeftCell="A24" activePane="bottomLeft"/>
      <selection activeCell="C10" sqref="C1:F1048576"/>
      <selection pane="bottomLeft" activeCell="E32" sqref="E32:E33"/>
    </sheetView>
  </sheetViews>
  <sheetFormatPr defaultRowHeight="15"/>
  <cols>
    <col min="1" max="1" width="28.42578125" style="102" customWidth="1"/>
    <col min="2" max="2" width="3.85546875" style="102" hidden="1" customWidth="1"/>
    <col min="3" max="3" width="17.28515625" style="114" customWidth="1"/>
    <col min="4" max="4" width="16.85546875" style="114" customWidth="1"/>
    <col min="5" max="5" width="19.140625" style="195" customWidth="1"/>
    <col min="6" max="6" width="17.5703125" style="195" customWidth="1"/>
    <col min="7" max="7" width="17.85546875" style="102" customWidth="1"/>
    <col min="8" max="8" width="9.28515625" style="102" bestFit="1" customWidth="1"/>
    <col min="9" max="9" width="16.28515625" style="102" customWidth="1"/>
    <col min="10" max="10" width="16.42578125" style="102" customWidth="1"/>
    <col min="11" max="11" width="16.7109375" style="128" customWidth="1"/>
    <col min="12" max="12" width="14.85546875" style="128" customWidth="1"/>
    <col min="13" max="13" width="18.7109375" style="129" customWidth="1"/>
    <col min="14" max="14" width="22.5703125" style="129" customWidth="1"/>
    <col min="15" max="16384" width="9.140625" style="102"/>
  </cols>
  <sheetData>
    <row r="1" spans="1:14" ht="15.75">
      <c r="A1" s="97" t="s">
        <v>407</v>
      </c>
      <c r="B1" s="98"/>
      <c r="G1" s="98"/>
      <c r="H1" s="98"/>
      <c r="I1" s="98"/>
      <c r="J1" s="98"/>
      <c r="K1" s="99"/>
      <c r="L1" s="99"/>
      <c r="M1" s="100"/>
      <c r="N1" s="101"/>
    </row>
    <row r="2" spans="1:14" ht="15.75">
      <c r="A2" s="139"/>
      <c r="B2" s="103"/>
      <c r="G2" s="103"/>
      <c r="H2" s="103"/>
      <c r="I2" s="103"/>
      <c r="J2" s="103"/>
      <c r="K2" s="110"/>
      <c r="L2" s="110"/>
      <c r="M2" s="111"/>
      <c r="N2" s="112"/>
    </row>
    <row r="3" spans="1:14">
      <c r="B3" s="103"/>
      <c r="C3" s="212"/>
      <c r="D3" s="212"/>
      <c r="E3" s="213" t="s">
        <v>335</v>
      </c>
      <c r="F3" s="214"/>
      <c r="G3" s="104"/>
      <c r="H3" s="104"/>
      <c r="I3" s="104"/>
      <c r="J3" s="104"/>
      <c r="K3" s="105"/>
      <c r="L3" s="105"/>
      <c r="M3" s="106"/>
      <c r="N3" s="107"/>
    </row>
    <row r="4" spans="1:14">
      <c r="A4" s="108"/>
      <c r="B4" s="103"/>
      <c r="C4" s="215" t="s">
        <v>336</v>
      </c>
      <c r="D4" s="215" t="s">
        <v>337</v>
      </c>
      <c r="E4" s="213" t="s">
        <v>338</v>
      </c>
      <c r="F4" s="214"/>
      <c r="G4" s="104" t="s">
        <v>339</v>
      </c>
      <c r="H4" s="104"/>
      <c r="I4" s="104" t="s">
        <v>340</v>
      </c>
      <c r="J4" s="104"/>
      <c r="K4" s="137" t="s">
        <v>341</v>
      </c>
      <c r="L4" s="105"/>
      <c r="M4" s="138" t="s">
        <v>342</v>
      </c>
      <c r="N4" s="107"/>
    </row>
    <row r="5" spans="1:14">
      <c r="A5" s="108"/>
      <c r="B5" s="103"/>
      <c r="C5" s="212" t="s">
        <v>0</v>
      </c>
      <c r="D5" s="212" t="s">
        <v>1</v>
      </c>
      <c r="E5" s="214" t="s">
        <v>0</v>
      </c>
      <c r="F5" s="214" t="s">
        <v>1</v>
      </c>
      <c r="G5" s="104" t="s">
        <v>0</v>
      </c>
      <c r="H5" s="104" t="s">
        <v>1</v>
      </c>
      <c r="I5" s="104" t="s">
        <v>0</v>
      </c>
      <c r="J5" s="104" t="s">
        <v>1</v>
      </c>
      <c r="K5" s="105" t="s">
        <v>0</v>
      </c>
      <c r="L5" s="105" t="s">
        <v>1</v>
      </c>
      <c r="M5" s="106" t="s">
        <v>0</v>
      </c>
      <c r="N5" s="107" t="s">
        <v>1</v>
      </c>
    </row>
    <row r="6" spans="1:14">
      <c r="A6" s="108"/>
      <c r="B6" s="103"/>
      <c r="C6" s="212" t="s">
        <v>46</v>
      </c>
      <c r="D6" s="212" t="s">
        <v>46</v>
      </c>
      <c r="E6" s="214" t="s">
        <v>46</v>
      </c>
      <c r="F6" s="214" t="s">
        <v>46</v>
      </c>
      <c r="G6" s="104" t="s">
        <v>46</v>
      </c>
      <c r="H6" s="104" t="s">
        <v>46</v>
      </c>
      <c r="I6" s="104" t="s">
        <v>46</v>
      </c>
      <c r="J6" s="104" t="s">
        <v>46</v>
      </c>
      <c r="K6" s="105" t="s">
        <v>46</v>
      </c>
      <c r="L6" s="105" t="s">
        <v>46</v>
      </c>
      <c r="M6" s="106" t="s">
        <v>46</v>
      </c>
      <c r="N6" s="107" t="s">
        <v>46</v>
      </c>
    </row>
    <row r="7" spans="1:14">
      <c r="A7" s="109" t="s">
        <v>79</v>
      </c>
      <c r="B7" s="103"/>
      <c r="G7" s="103"/>
      <c r="H7" s="103"/>
      <c r="I7" s="103"/>
      <c r="J7" s="103"/>
      <c r="K7" s="110"/>
      <c r="L7" s="110"/>
      <c r="M7" s="111"/>
      <c r="N7" s="112"/>
    </row>
    <row r="8" spans="1:14">
      <c r="A8" s="109" t="s">
        <v>343</v>
      </c>
      <c r="B8" s="103"/>
      <c r="G8" s="103"/>
      <c r="H8" s="103"/>
      <c r="I8" s="103"/>
      <c r="J8" s="103"/>
      <c r="K8" s="110"/>
      <c r="L8" s="110"/>
      <c r="M8" s="111"/>
      <c r="N8" s="112"/>
    </row>
    <row r="9" spans="1:14">
      <c r="A9" s="108" t="s">
        <v>344</v>
      </c>
      <c r="B9" s="103"/>
      <c r="C9" s="114">
        <v>158175650</v>
      </c>
      <c r="G9" s="103"/>
      <c r="H9" s="103"/>
      <c r="I9" s="103">
        <f>C9+E9-F9</f>
        <v>158175650</v>
      </c>
      <c r="J9" s="103"/>
      <c r="K9" s="110">
        <f>I9</f>
        <v>158175650</v>
      </c>
      <c r="L9" s="110"/>
      <c r="M9" s="111"/>
      <c r="N9" s="112"/>
    </row>
    <row r="10" spans="1:14">
      <c r="A10" s="108" t="s">
        <v>345</v>
      </c>
      <c r="B10" s="103"/>
      <c r="C10" s="114">
        <v>27899177</v>
      </c>
      <c r="G10" s="103"/>
      <c r="H10" s="103"/>
      <c r="I10" s="103">
        <f t="shared" ref="I10:I12" si="0">C10+E10-F10</f>
        <v>27899177</v>
      </c>
      <c r="J10" s="103"/>
      <c r="K10" s="110">
        <f>I10</f>
        <v>27899177</v>
      </c>
      <c r="L10" s="110"/>
      <c r="M10" s="111"/>
      <c r="N10" s="112"/>
    </row>
    <row r="11" spans="1:14">
      <c r="A11" s="108" t="s">
        <v>4</v>
      </c>
      <c r="B11" s="103"/>
      <c r="C11" s="114">
        <v>21474450</v>
      </c>
      <c r="E11" s="195">
        <v>4927786.07</v>
      </c>
      <c r="G11" s="103"/>
      <c r="H11" s="103"/>
      <c r="I11" s="103">
        <f t="shared" si="0"/>
        <v>26402236.07</v>
      </c>
      <c r="J11" s="103"/>
      <c r="K11" s="110">
        <f>I11</f>
        <v>26402236.07</v>
      </c>
      <c r="L11" s="110"/>
      <c r="M11" s="111"/>
      <c r="N11" s="112"/>
    </row>
    <row r="12" spans="1:14">
      <c r="A12" s="108" t="s">
        <v>346</v>
      </c>
      <c r="B12" s="103"/>
      <c r="C12" s="114">
        <v>5972690</v>
      </c>
      <c r="G12" s="103"/>
      <c r="H12" s="103"/>
      <c r="I12" s="103">
        <f t="shared" si="0"/>
        <v>5972690</v>
      </c>
      <c r="J12" s="103"/>
      <c r="K12" s="110">
        <f>I12</f>
        <v>5972690</v>
      </c>
      <c r="L12" s="110"/>
      <c r="M12" s="111"/>
      <c r="N12" s="112"/>
    </row>
    <row r="13" spans="1:14">
      <c r="A13" s="108"/>
      <c r="B13" s="103"/>
      <c r="C13" s="212"/>
      <c r="G13" s="103"/>
      <c r="H13" s="103"/>
      <c r="I13" s="103"/>
      <c r="J13" s="103"/>
      <c r="K13" s="110"/>
      <c r="L13" s="110"/>
      <c r="M13" s="111"/>
      <c r="N13" s="112"/>
    </row>
    <row r="14" spans="1:14">
      <c r="A14" s="109" t="s">
        <v>347</v>
      </c>
      <c r="B14" s="103"/>
      <c r="G14" s="103"/>
      <c r="H14" s="103"/>
      <c r="I14" s="103"/>
      <c r="J14" s="103"/>
      <c r="K14" s="110"/>
      <c r="L14" s="110"/>
      <c r="M14" s="111"/>
      <c r="N14" s="112"/>
    </row>
    <row r="15" spans="1:14">
      <c r="A15" s="108" t="s">
        <v>348</v>
      </c>
      <c r="B15" s="103"/>
      <c r="D15" s="114">
        <v>15722207</v>
      </c>
      <c r="F15" s="195">
        <f>2849096+D15</f>
        <v>18571303</v>
      </c>
      <c r="G15" s="103"/>
      <c r="H15" s="103"/>
      <c r="I15" s="103"/>
      <c r="J15" s="103">
        <f>D15-E15+F15</f>
        <v>34293510</v>
      </c>
      <c r="K15" s="110"/>
      <c r="L15" s="110">
        <f>J15</f>
        <v>34293510</v>
      </c>
      <c r="M15" s="111"/>
      <c r="N15" s="112"/>
    </row>
    <row r="16" spans="1:14">
      <c r="A16" s="108" t="s">
        <v>345</v>
      </c>
      <c r="B16" s="103"/>
      <c r="D16" s="114">
        <v>22908795</v>
      </c>
      <c r="F16" s="195">
        <f>748557+D16</f>
        <v>23657352</v>
      </c>
      <c r="G16" s="103"/>
      <c r="H16" s="103"/>
      <c r="I16" s="103"/>
      <c r="J16" s="103">
        <f>D16-E16+F16</f>
        <v>46566147</v>
      </c>
      <c r="K16" s="110"/>
      <c r="L16" s="110">
        <f>J16</f>
        <v>46566147</v>
      </c>
      <c r="M16" s="111"/>
      <c r="N16" s="112"/>
    </row>
    <row r="17" spans="1:14">
      <c r="A17" s="108" t="s">
        <v>4</v>
      </c>
      <c r="B17" s="103"/>
      <c r="D17" s="114">
        <v>21474440</v>
      </c>
      <c r="F17" s="195">
        <f>378296+D17</f>
        <v>21852736</v>
      </c>
      <c r="G17" s="103"/>
      <c r="H17" s="103"/>
      <c r="I17" s="103"/>
      <c r="J17" s="103">
        <f>D17-E17+F17</f>
        <v>43327176</v>
      </c>
      <c r="K17" s="110"/>
      <c r="L17" s="110">
        <f>J17</f>
        <v>43327176</v>
      </c>
      <c r="M17" s="111"/>
      <c r="N17" s="112"/>
    </row>
    <row r="18" spans="1:14">
      <c r="A18" s="108" t="s">
        <v>346</v>
      </c>
      <c r="B18" s="103"/>
      <c r="D18" s="114">
        <v>4092680</v>
      </c>
      <c r="F18" s="195">
        <f>376002+D18</f>
        <v>4468682</v>
      </c>
      <c r="G18" s="103"/>
      <c r="H18" s="103"/>
      <c r="I18" s="103"/>
      <c r="J18" s="103">
        <f>D18-E18+F18</f>
        <v>8561362</v>
      </c>
      <c r="K18" s="110"/>
      <c r="L18" s="110">
        <f>J18</f>
        <v>8561362</v>
      </c>
      <c r="M18" s="111"/>
      <c r="N18" s="112"/>
    </row>
    <row r="19" spans="1:14">
      <c r="A19" s="108"/>
      <c r="B19" s="103"/>
      <c r="D19" s="212"/>
      <c r="G19" s="103"/>
      <c r="H19" s="103"/>
      <c r="I19" s="103"/>
      <c r="J19" s="103"/>
      <c r="K19" s="110"/>
      <c r="L19" s="110"/>
      <c r="M19" s="111"/>
      <c r="N19" s="112"/>
    </row>
    <row r="20" spans="1:14">
      <c r="A20" s="108"/>
      <c r="B20" s="103"/>
      <c r="C20" s="212"/>
      <c r="G20" s="103"/>
      <c r="H20" s="103"/>
      <c r="I20" s="103"/>
      <c r="J20" s="103"/>
      <c r="K20" s="110"/>
      <c r="L20" s="110"/>
      <c r="M20" s="111"/>
      <c r="N20" s="112"/>
    </row>
    <row r="21" spans="1:14">
      <c r="A21" s="109" t="s">
        <v>122</v>
      </c>
      <c r="B21" s="103"/>
      <c r="G21" s="103"/>
      <c r="H21" s="103"/>
      <c r="I21" s="103"/>
      <c r="J21" s="103"/>
      <c r="K21" s="110"/>
      <c r="L21" s="110"/>
      <c r="M21" s="111"/>
      <c r="N21" s="112"/>
    </row>
    <row r="22" spans="1:14">
      <c r="A22" s="108" t="s">
        <v>349</v>
      </c>
      <c r="B22" s="103"/>
      <c r="C22" s="114">
        <v>0</v>
      </c>
      <c r="E22" s="195">
        <v>0</v>
      </c>
      <c r="F22" s="195">
        <v>0</v>
      </c>
      <c r="G22" s="103"/>
      <c r="H22" s="103"/>
      <c r="I22" s="103">
        <f>C22+E22-F22</f>
        <v>0</v>
      </c>
      <c r="J22" s="103"/>
      <c r="K22" s="110">
        <f t="shared" ref="K22:K28" si="1">I22</f>
        <v>0</v>
      </c>
      <c r="L22" s="110"/>
      <c r="M22" s="111"/>
      <c r="N22" s="112"/>
    </row>
    <row r="23" spans="1:14">
      <c r="A23" s="108" t="s">
        <v>192</v>
      </c>
      <c r="B23" s="103"/>
      <c r="C23" s="114">
        <v>13716367</v>
      </c>
      <c r="E23" s="195">
        <f>833612432.51+C23</f>
        <v>847328799.50999999</v>
      </c>
      <c r="F23" s="195">
        <v>820840464.99000001</v>
      </c>
      <c r="G23" s="103"/>
      <c r="H23" s="103"/>
      <c r="I23" s="103">
        <f>C23+E23-F23</f>
        <v>40204701.519999981</v>
      </c>
      <c r="J23" s="103"/>
      <c r="K23" s="110">
        <f t="shared" si="1"/>
        <v>40204701.519999981</v>
      </c>
      <c r="L23" s="110"/>
      <c r="M23" s="111"/>
      <c r="N23" s="112"/>
    </row>
    <row r="24" spans="1:14">
      <c r="A24" s="108"/>
      <c r="B24" s="103"/>
      <c r="G24" s="103"/>
      <c r="H24" s="103"/>
      <c r="I24" s="103"/>
      <c r="J24" s="103"/>
      <c r="K24" s="110">
        <f t="shared" si="1"/>
        <v>0</v>
      </c>
      <c r="L24" s="110"/>
      <c r="M24" s="111"/>
      <c r="N24" s="112"/>
    </row>
    <row r="25" spans="1:14">
      <c r="A25" s="108" t="s">
        <v>350</v>
      </c>
      <c r="B25" s="103"/>
      <c r="C25" s="114">
        <v>0</v>
      </c>
      <c r="E25" s="195">
        <v>7763320</v>
      </c>
      <c r="F25" s="195">
        <v>0</v>
      </c>
      <c r="G25" s="103"/>
      <c r="H25" s="103"/>
      <c r="I25" s="103">
        <f>C25+E25</f>
        <v>7763320</v>
      </c>
      <c r="J25" s="103"/>
      <c r="K25" s="110">
        <f t="shared" si="1"/>
        <v>7763320</v>
      </c>
      <c r="L25" s="110"/>
      <c r="M25" s="111"/>
      <c r="N25" s="112"/>
    </row>
    <row r="26" spans="1:14" ht="13.5" customHeight="1">
      <c r="A26" s="108" t="s">
        <v>351</v>
      </c>
      <c r="B26" s="103"/>
      <c r="C26" s="114">
        <v>3773928</v>
      </c>
      <c r="E26" s="195">
        <v>6381879</v>
      </c>
      <c r="F26" s="195">
        <v>0</v>
      </c>
      <c r="G26" s="103"/>
      <c r="H26" s="103"/>
      <c r="I26" s="103">
        <f>E26</f>
        <v>6381879</v>
      </c>
      <c r="J26" s="103"/>
      <c r="K26" s="110">
        <f t="shared" si="1"/>
        <v>6381879</v>
      </c>
      <c r="L26" s="110"/>
      <c r="M26" s="111"/>
      <c r="N26" s="112"/>
    </row>
    <row r="27" spans="1:14" ht="13.5" customHeight="1">
      <c r="A27" s="108" t="s">
        <v>13</v>
      </c>
      <c r="B27" s="103"/>
      <c r="C27" s="114">
        <v>1863000</v>
      </c>
      <c r="E27" s="195">
        <v>1265000</v>
      </c>
      <c r="F27" s="195">
        <v>0</v>
      </c>
      <c r="G27" s="103"/>
      <c r="H27" s="103"/>
      <c r="I27" s="103">
        <f>C27+E27</f>
        <v>3128000</v>
      </c>
      <c r="J27" s="103"/>
      <c r="K27" s="110">
        <f t="shared" si="1"/>
        <v>3128000</v>
      </c>
      <c r="L27" s="110"/>
      <c r="M27" s="111"/>
      <c r="N27" s="112"/>
    </row>
    <row r="28" spans="1:14" s="115" customFormat="1" ht="13.5" customHeight="1">
      <c r="A28" s="113" t="s">
        <v>352</v>
      </c>
      <c r="B28" s="114"/>
      <c r="C28" s="114"/>
      <c r="D28" s="114"/>
      <c r="E28" s="195">
        <v>0</v>
      </c>
      <c r="F28" s="195">
        <v>0</v>
      </c>
      <c r="G28" s="114"/>
      <c r="H28" s="114"/>
      <c r="I28" s="114">
        <f t="shared" ref="I28" si="2">C28+E28-F28</f>
        <v>0</v>
      </c>
      <c r="J28" s="114"/>
      <c r="K28" s="110">
        <f t="shared" si="1"/>
        <v>0</v>
      </c>
      <c r="L28" s="110"/>
      <c r="M28" s="111"/>
      <c r="N28" s="112"/>
    </row>
    <row r="29" spans="1:14" s="116" customFormat="1" ht="15.75" customHeight="1">
      <c r="A29" s="113" t="s">
        <v>353</v>
      </c>
      <c r="B29" s="114"/>
      <c r="C29" s="114">
        <v>0</v>
      </c>
      <c r="D29" s="114"/>
      <c r="E29" s="195">
        <v>0</v>
      </c>
      <c r="F29" s="195">
        <v>0</v>
      </c>
      <c r="G29" s="114"/>
      <c r="H29" s="114"/>
      <c r="I29" s="114">
        <f>C29+E29-F29</f>
        <v>0</v>
      </c>
      <c r="J29" s="103"/>
      <c r="K29" s="110">
        <f>I29</f>
        <v>0</v>
      </c>
      <c r="L29" s="110"/>
      <c r="M29" s="111"/>
      <c r="N29" s="112"/>
    </row>
    <row r="30" spans="1:14">
      <c r="A30" s="108" t="s">
        <v>354</v>
      </c>
      <c r="B30" s="103"/>
      <c r="G30" s="103"/>
      <c r="H30" s="103"/>
      <c r="I30" s="114">
        <f>C30+E30-F30</f>
        <v>0</v>
      </c>
      <c r="J30" s="103"/>
      <c r="K30" s="110">
        <f>I30</f>
        <v>0</v>
      </c>
      <c r="L30" s="110">
        <f>J30</f>
        <v>0</v>
      </c>
      <c r="M30" s="111"/>
      <c r="N30" s="112"/>
    </row>
    <row r="31" spans="1:14">
      <c r="A31" s="108"/>
      <c r="B31" s="103"/>
      <c r="G31" s="103"/>
      <c r="H31" s="103"/>
      <c r="I31" s="103"/>
      <c r="J31" s="103"/>
      <c r="K31" s="110"/>
      <c r="L31" s="110"/>
      <c r="M31" s="111"/>
      <c r="N31" s="112"/>
    </row>
    <row r="32" spans="1:14">
      <c r="A32" s="117" t="s">
        <v>126</v>
      </c>
      <c r="B32" s="114"/>
      <c r="G32" s="114"/>
      <c r="H32" s="114"/>
      <c r="I32" s="114"/>
      <c r="J32" s="114"/>
      <c r="K32" s="110"/>
      <c r="L32" s="110"/>
      <c r="M32" s="111"/>
      <c r="N32" s="112"/>
    </row>
    <row r="33" spans="1:14" s="116" customFormat="1">
      <c r="A33" s="118" t="s">
        <v>355</v>
      </c>
      <c r="B33" s="114"/>
      <c r="C33" s="114"/>
      <c r="D33" s="114">
        <v>0</v>
      </c>
      <c r="E33" s="195">
        <v>0</v>
      </c>
      <c r="F33" s="195">
        <v>0</v>
      </c>
      <c r="G33" s="114"/>
      <c r="H33" s="114"/>
      <c r="I33" s="114"/>
      <c r="J33" s="103">
        <f>F33-E33</f>
        <v>0</v>
      </c>
      <c r="K33" s="110"/>
      <c r="L33" s="110">
        <f t="shared" ref="L33:L38" si="3">J33</f>
        <v>0</v>
      </c>
      <c r="M33" s="111"/>
      <c r="N33" s="112"/>
    </row>
    <row r="34" spans="1:14">
      <c r="A34" s="118" t="s">
        <v>334</v>
      </c>
      <c r="B34" s="114"/>
      <c r="D34" s="114">
        <v>9385775</v>
      </c>
      <c r="E34" s="195">
        <v>0</v>
      </c>
      <c r="F34" s="195">
        <f>3587607+D34</f>
        <v>12973382</v>
      </c>
      <c r="G34" s="114"/>
      <c r="H34" s="114"/>
      <c r="I34" s="114"/>
      <c r="J34" s="114">
        <f>D34-E34</f>
        <v>9385775</v>
      </c>
      <c r="K34" s="110"/>
      <c r="L34" s="110">
        <f t="shared" si="3"/>
        <v>9385775</v>
      </c>
      <c r="M34" s="111"/>
      <c r="N34" s="112"/>
    </row>
    <row r="35" spans="1:14">
      <c r="A35" s="113" t="s">
        <v>117</v>
      </c>
      <c r="B35" s="114"/>
      <c r="D35" s="114">
        <v>2000000</v>
      </c>
      <c r="E35" s="195">
        <v>0</v>
      </c>
      <c r="F35" s="195">
        <v>0</v>
      </c>
      <c r="G35" s="114"/>
      <c r="H35" s="114"/>
      <c r="I35" s="114"/>
      <c r="J35" s="114">
        <f>D35-E35+F35</f>
        <v>2000000</v>
      </c>
      <c r="K35" s="110"/>
      <c r="L35" s="110">
        <f t="shared" si="3"/>
        <v>2000000</v>
      </c>
      <c r="M35" s="111"/>
      <c r="N35" s="112"/>
    </row>
    <row r="36" spans="1:14">
      <c r="A36" s="108" t="s">
        <v>356</v>
      </c>
      <c r="B36" s="103"/>
      <c r="D36" s="114">
        <v>1796063</v>
      </c>
      <c r="E36" s="195">
        <v>0</v>
      </c>
      <c r="F36" s="195">
        <v>0</v>
      </c>
      <c r="G36" s="103"/>
      <c r="H36" s="103"/>
      <c r="I36" s="103"/>
      <c r="J36" s="103">
        <f>D36-E36+F36</f>
        <v>1796063</v>
      </c>
      <c r="K36" s="110"/>
      <c r="L36" s="110">
        <f t="shared" si="3"/>
        <v>1796063</v>
      </c>
      <c r="M36" s="111"/>
      <c r="N36" s="112"/>
    </row>
    <row r="37" spans="1:14">
      <c r="A37" s="108" t="s">
        <v>177</v>
      </c>
      <c r="B37" s="103"/>
      <c r="D37" s="114">
        <v>1034878</v>
      </c>
      <c r="F37" s="195">
        <v>1034878</v>
      </c>
      <c r="G37" s="103"/>
      <c r="H37" s="103"/>
      <c r="I37" s="103"/>
      <c r="J37" s="103">
        <f>D37-E37</f>
        <v>1034878</v>
      </c>
      <c r="K37" s="110"/>
      <c r="L37" s="110">
        <f t="shared" si="3"/>
        <v>1034878</v>
      </c>
      <c r="M37" s="111"/>
      <c r="N37" s="112"/>
    </row>
    <row r="38" spans="1:14">
      <c r="A38" s="108" t="s">
        <v>357</v>
      </c>
      <c r="B38" s="103"/>
      <c r="D38" s="114">
        <v>186976</v>
      </c>
      <c r="F38" s="195">
        <v>186976</v>
      </c>
      <c r="G38" s="103"/>
      <c r="H38" s="103"/>
      <c r="I38" s="103"/>
      <c r="J38" s="103">
        <f t="shared" ref="J38:J39" si="4">D38-E38</f>
        <v>186976</v>
      </c>
      <c r="K38" s="110"/>
      <c r="L38" s="110">
        <f t="shared" si="3"/>
        <v>186976</v>
      </c>
      <c r="M38" s="111"/>
      <c r="N38" s="112"/>
    </row>
    <row r="39" spans="1:14">
      <c r="A39" s="108" t="s">
        <v>114</v>
      </c>
      <c r="B39" s="103"/>
      <c r="D39" s="114">
        <v>112938306</v>
      </c>
      <c r="F39" s="195">
        <v>112938306</v>
      </c>
      <c r="G39" s="103"/>
      <c r="H39" s="103"/>
      <c r="I39" s="103"/>
      <c r="J39" s="103">
        <f t="shared" si="4"/>
        <v>112938306</v>
      </c>
      <c r="K39" s="110"/>
      <c r="L39" s="110"/>
      <c r="M39" s="111"/>
      <c r="N39" s="112"/>
    </row>
    <row r="40" spans="1:14">
      <c r="A40" s="108"/>
      <c r="B40" s="103"/>
      <c r="G40" s="103"/>
      <c r="H40" s="103"/>
      <c r="I40" s="103"/>
      <c r="J40" s="103"/>
      <c r="K40" s="110"/>
      <c r="L40" s="110"/>
      <c r="M40" s="111"/>
      <c r="N40" s="112"/>
    </row>
    <row r="41" spans="1:14">
      <c r="A41" s="109" t="s">
        <v>358</v>
      </c>
      <c r="B41" s="103"/>
      <c r="G41" s="103"/>
      <c r="H41" s="103"/>
      <c r="I41" s="103"/>
      <c r="J41" s="103"/>
      <c r="K41" s="110"/>
      <c r="L41" s="110"/>
      <c r="M41" s="111"/>
      <c r="N41" s="112"/>
    </row>
    <row r="42" spans="1:14">
      <c r="A42" s="108" t="s">
        <v>131</v>
      </c>
      <c r="B42" s="103"/>
      <c r="D42" s="114">
        <v>12500000</v>
      </c>
      <c r="F42" s="195">
        <v>0</v>
      </c>
      <c r="G42" s="103"/>
      <c r="H42" s="103"/>
      <c r="I42" s="103"/>
      <c r="J42" s="103">
        <f>D42-E42+F42</f>
        <v>12500000</v>
      </c>
      <c r="K42" s="110"/>
      <c r="L42" s="110">
        <f>J42</f>
        <v>12500000</v>
      </c>
      <c r="M42" s="111"/>
      <c r="N42" s="112"/>
    </row>
    <row r="43" spans="1:14">
      <c r="A43" s="108" t="s">
        <v>132</v>
      </c>
      <c r="B43" s="103"/>
      <c r="D43" s="114">
        <v>0</v>
      </c>
      <c r="F43" s="195">
        <v>0</v>
      </c>
      <c r="G43" s="103"/>
      <c r="H43" s="103"/>
      <c r="I43" s="103"/>
      <c r="J43" s="103">
        <f t="shared" ref="J43:J44" si="5">D43-E43+F43</f>
        <v>0</v>
      </c>
      <c r="K43" s="110"/>
      <c r="L43" s="110">
        <f>J43</f>
        <v>0</v>
      </c>
      <c r="M43" s="111"/>
      <c r="N43" s="112"/>
    </row>
    <row r="44" spans="1:14" ht="15.75" customHeight="1">
      <c r="A44" s="108" t="s">
        <v>359</v>
      </c>
      <c r="B44" s="103"/>
      <c r="D44" s="114">
        <v>28835142</v>
      </c>
      <c r="F44" s="195">
        <v>0</v>
      </c>
      <c r="G44" s="103"/>
      <c r="H44" s="103"/>
      <c r="I44" s="103"/>
      <c r="J44" s="103">
        <f t="shared" si="5"/>
        <v>28835142</v>
      </c>
      <c r="K44" s="110"/>
      <c r="L44" s="110">
        <f>J44</f>
        <v>28835142</v>
      </c>
      <c r="M44" s="111"/>
      <c r="N44" s="112"/>
    </row>
    <row r="45" spans="1:14">
      <c r="A45" s="108"/>
      <c r="B45" s="103"/>
      <c r="G45" s="103"/>
      <c r="H45" s="103"/>
      <c r="I45" s="103"/>
      <c r="J45" s="103"/>
      <c r="K45" s="110"/>
      <c r="L45" s="110"/>
      <c r="M45" s="111"/>
      <c r="N45" s="112"/>
    </row>
    <row r="46" spans="1:14">
      <c r="A46" s="108"/>
      <c r="B46" s="103"/>
      <c r="G46" s="103"/>
      <c r="H46" s="103"/>
      <c r="I46" s="103"/>
      <c r="J46" s="103"/>
      <c r="K46" s="110"/>
      <c r="L46" s="110"/>
      <c r="M46" s="111"/>
      <c r="N46" s="112"/>
    </row>
    <row r="47" spans="1:14">
      <c r="A47" s="108"/>
      <c r="B47" s="103"/>
      <c r="G47" s="103"/>
      <c r="H47" s="103"/>
      <c r="I47" s="103"/>
      <c r="J47" s="103"/>
      <c r="K47" s="110"/>
      <c r="L47" s="110"/>
      <c r="M47" s="111"/>
      <c r="N47" s="112"/>
    </row>
    <row r="48" spans="1:14">
      <c r="A48" s="109" t="s">
        <v>360</v>
      </c>
      <c r="B48" s="103"/>
      <c r="G48" s="103"/>
      <c r="H48" s="103"/>
      <c r="I48" s="103"/>
      <c r="J48" s="103"/>
      <c r="K48" s="110"/>
      <c r="L48" s="110"/>
      <c r="M48" s="111"/>
      <c r="N48" s="112"/>
    </row>
    <row r="49" spans="1:14">
      <c r="A49" s="108" t="s">
        <v>361</v>
      </c>
      <c r="B49" s="103"/>
      <c r="F49" s="195">
        <v>655740945</v>
      </c>
      <c r="G49" s="103"/>
      <c r="H49" s="103"/>
      <c r="I49" s="103"/>
      <c r="J49" s="103">
        <f>D49-E49+F49</f>
        <v>655740945</v>
      </c>
      <c r="K49" s="110"/>
      <c r="L49" s="110"/>
      <c r="M49" s="111"/>
      <c r="N49" s="112">
        <f>J49</f>
        <v>655740945</v>
      </c>
    </row>
    <row r="50" spans="1:14">
      <c r="A50" s="109" t="s">
        <v>362</v>
      </c>
      <c r="B50" s="103"/>
      <c r="G50" s="103"/>
      <c r="H50" s="103"/>
      <c r="I50" s="103"/>
      <c r="J50" s="103"/>
      <c r="K50" s="110"/>
      <c r="L50" s="110"/>
      <c r="M50" s="111"/>
      <c r="N50" s="112"/>
    </row>
    <row r="51" spans="1:14" ht="16.5" customHeight="1">
      <c r="A51" s="119" t="s">
        <v>363</v>
      </c>
      <c r="B51" s="103"/>
      <c r="E51" s="195">
        <v>0</v>
      </c>
      <c r="G51" s="103"/>
      <c r="H51" s="103"/>
      <c r="I51" s="103">
        <f>C51+E51-F51</f>
        <v>0</v>
      </c>
      <c r="J51" s="103"/>
      <c r="K51" s="110"/>
      <c r="L51" s="110"/>
      <c r="M51" s="111">
        <f>I51</f>
        <v>0</v>
      </c>
      <c r="N51" s="112"/>
    </row>
    <row r="52" spans="1:14">
      <c r="A52" s="113" t="s">
        <v>97</v>
      </c>
      <c r="B52" s="114"/>
      <c r="G52" s="114"/>
      <c r="H52" s="114"/>
      <c r="I52" s="114"/>
      <c r="J52" s="114"/>
      <c r="K52" s="110"/>
      <c r="L52" s="110"/>
      <c r="M52" s="111"/>
      <c r="N52" s="112"/>
    </row>
    <row r="53" spans="1:14" s="116" customFormat="1">
      <c r="A53" s="120" t="s">
        <v>364</v>
      </c>
      <c r="B53" s="114"/>
      <c r="C53" s="114"/>
      <c r="D53" s="114"/>
      <c r="E53" s="195">
        <v>145875464.41999999</v>
      </c>
      <c r="F53" s="195"/>
      <c r="G53" s="114"/>
      <c r="H53" s="114"/>
      <c r="I53" s="114">
        <f>C53+E53-F53</f>
        <v>145875464.41999999</v>
      </c>
      <c r="J53" s="114"/>
      <c r="K53" s="110"/>
      <c r="L53" s="110"/>
      <c r="M53" s="111">
        <f>I53</f>
        <v>145875464.41999999</v>
      </c>
      <c r="N53" s="112"/>
    </row>
    <row r="54" spans="1:14">
      <c r="A54" s="120" t="s">
        <v>615</v>
      </c>
      <c r="B54" s="114"/>
      <c r="E54" s="195">
        <v>16019833</v>
      </c>
      <c r="G54" s="114"/>
      <c r="H54" s="114"/>
      <c r="I54" s="114">
        <f t="shared" ref="I54:I56" si="6">C54+E54-F54</f>
        <v>16019833</v>
      </c>
      <c r="J54" s="114"/>
      <c r="K54" s="110"/>
      <c r="L54" s="110"/>
      <c r="M54" s="111">
        <f>I54</f>
        <v>16019833</v>
      </c>
      <c r="N54" s="112"/>
    </row>
    <row r="55" spans="1:14">
      <c r="A55" s="120" t="s">
        <v>616</v>
      </c>
      <c r="B55" s="114"/>
      <c r="E55" s="195">
        <v>5924958.25</v>
      </c>
      <c r="G55" s="114"/>
      <c r="H55" s="114"/>
      <c r="I55" s="114">
        <f t="shared" si="6"/>
        <v>5924958.25</v>
      </c>
      <c r="J55" s="114"/>
      <c r="K55" s="110"/>
      <c r="L55" s="110"/>
      <c r="M55" s="111">
        <f>I55</f>
        <v>5924958.25</v>
      </c>
      <c r="N55" s="112"/>
    </row>
    <row r="56" spans="1:14">
      <c r="A56" s="113" t="s">
        <v>365</v>
      </c>
      <c r="B56" s="114"/>
      <c r="E56" s="195">
        <v>6464500</v>
      </c>
      <c r="G56" s="114"/>
      <c r="H56" s="114"/>
      <c r="I56" s="114">
        <f t="shared" si="6"/>
        <v>6464500</v>
      </c>
      <c r="J56" s="114"/>
      <c r="K56" s="110"/>
      <c r="L56" s="110"/>
      <c r="M56" s="111">
        <f>I56</f>
        <v>6464500</v>
      </c>
      <c r="N56" s="112"/>
    </row>
    <row r="57" spans="1:14">
      <c r="A57" s="113" t="s">
        <v>366</v>
      </c>
      <c r="B57" s="114"/>
      <c r="F57" s="195">
        <v>7763319.7000000002</v>
      </c>
      <c r="G57" s="114"/>
      <c r="H57" s="114"/>
      <c r="I57" s="114"/>
      <c r="J57" s="114">
        <f>D57-E57+F57</f>
        <v>7763319.7000000002</v>
      </c>
      <c r="K57" s="110"/>
      <c r="L57" s="110"/>
      <c r="M57" s="111"/>
      <c r="N57" s="112">
        <f>J57</f>
        <v>7763319.7000000002</v>
      </c>
    </row>
    <row r="58" spans="1:14">
      <c r="A58" s="113"/>
      <c r="B58" s="114"/>
      <c r="G58" s="114"/>
      <c r="H58" s="114"/>
      <c r="I58" s="114"/>
      <c r="J58" s="114"/>
      <c r="K58" s="110"/>
      <c r="L58" s="110"/>
      <c r="M58" s="111"/>
      <c r="N58" s="112"/>
    </row>
    <row r="59" spans="1:14">
      <c r="A59" s="113" t="s">
        <v>367</v>
      </c>
      <c r="B59" s="114"/>
      <c r="H59" s="114"/>
      <c r="I59" s="114"/>
      <c r="J59" s="114"/>
      <c r="K59" s="110"/>
      <c r="L59" s="110"/>
      <c r="M59" s="111"/>
      <c r="N59" s="112"/>
    </row>
    <row r="60" spans="1:14">
      <c r="A60" s="113"/>
      <c r="B60" s="114"/>
      <c r="G60" s="114"/>
      <c r="H60" s="114"/>
      <c r="I60" s="114"/>
      <c r="J60" s="114"/>
      <c r="K60" s="110"/>
      <c r="L60" s="110"/>
      <c r="M60" s="111"/>
      <c r="N60" s="112"/>
    </row>
    <row r="61" spans="1:14">
      <c r="A61" s="117" t="s">
        <v>368</v>
      </c>
      <c r="B61" s="114"/>
      <c r="G61" s="114"/>
      <c r="H61" s="114"/>
      <c r="I61" s="114"/>
      <c r="J61" s="114"/>
      <c r="K61" s="110"/>
      <c r="L61" s="110"/>
      <c r="M61" s="111"/>
      <c r="N61" s="112"/>
    </row>
    <row r="62" spans="1:14">
      <c r="A62" s="113" t="s">
        <v>102</v>
      </c>
      <c r="B62" s="114"/>
      <c r="E62" s="195">
        <v>6208500</v>
      </c>
      <c r="G62" s="114"/>
      <c r="H62" s="114"/>
      <c r="I62" s="114">
        <f>C62+E62-F62</f>
        <v>6208500</v>
      </c>
      <c r="J62" s="114"/>
      <c r="K62" s="110"/>
      <c r="L62" s="110"/>
      <c r="M62" s="111">
        <f t="shared" ref="M62:M84" si="7">I62</f>
        <v>6208500</v>
      </c>
      <c r="N62" s="112"/>
    </row>
    <row r="63" spans="1:14" s="121" customFormat="1">
      <c r="A63" s="113" t="s">
        <v>369</v>
      </c>
      <c r="B63" s="114"/>
      <c r="C63" s="114"/>
      <c r="D63" s="114"/>
      <c r="E63" s="195">
        <f>70277500-E56</f>
        <v>63813000</v>
      </c>
      <c r="F63" s="195">
        <v>0</v>
      </c>
      <c r="G63" s="114"/>
      <c r="H63" s="114"/>
      <c r="I63" s="114">
        <f>C63+E63</f>
        <v>63813000</v>
      </c>
      <c r="J63" s="114"/>
      <c r="K63" s="110"/>
      <c r="L63" s="110"/>
      <c r="M63" s="111">
        <f t="shared" si="7"/>
        <v>63813000</v>
      </c>
      <c r="N63" s="112"/>
    </row>
    <row r="64" spans="1:14">
      <c r="A64" s="108" t="s">
        <v>96</v>
      </c>
      <c r="B64" s="103"/>
      <c r="E64" s="195">
        <v>84958087</v>
      </c>
      <c r="G64" s="103"/>
      <c r="H64" s="103"/>
      <c r="I64" s="114">
        <f>C64+E64</f>
        <v>84958087</v>
      </c>
      <c r="J64" s="103"/>
      <c r="K64" s="110"/>
      <c r="L64" s="110"/>
      <c r="M64" s="111">
        <f t="shared" si="7"/>
        <v>84958087</v>
      </c>
      <c r="N64" s="112"/>
    </row>
    <row r="65" spans="1:14">
      <c r="A65" s="108" t="s">
        <v>370</v>
      </c>
      <c r="B65" s="103"/>
      <c r="E65" s="195">
        <v>20810410</v>
      </c>
      <c r="G65" s="103"/>
      <c r="H65" s="103"/>
      <c r="I65" s="103">
        <f t="shared" ref="I64:I85" si="8">C65+E65-F65</f>
        <v>20810410</v>
      </c>
      <c r="J65" s="103"/>
      <c r="K65" s="110"/>
      <c r="L65" s="110"/>
      <c r="M65" s="111">
        <f t="shared" si="7"/>
        <v>20810410</v>
      </c>
      <c r="N65" s="112"/>
    </row>
    <row r="66" spans="1:14">
      <c r="A66" s="108" t="s">
        <v>371</v>
      </c>
      <c r="B66" s="103"/>
      <c r="E66" s="195">
        <v>5456994.1299999999</v>
      </c>
      <c r="G66" s="103"/>
      <c r="H66" s="103"/>
      <c r="I66" s="103">
        <f t="shared" si="8"/>
        <v>5456994.1299999999</v>
      </c>
      <c r="J66" s="103"/>
      <c r="K66" s="110"/>
      <c r="L66" s="110"/>
      <c r="M66" s="111">
        <f t="shared" si="7"/>
        <v>5456994.1299999999</v>
      </c>
      <c r="N66" s="112"/>
    </row>
    <row r="67" spans="1:14">
      <c r="A67" s="108" t="s">
        <v>372</v>
      </c>
      <c r="B67" s="103"/>
      <c r="E67" s="195">
        <f>469862+30000</f>
        <v>499862</v>
      </c>
      <c r="G67" s="103"/>
      <c r="H67" s="103"/>
      <c r="I67" s="103">
        <f t="shared" si="8"/>
        <v>499862</v>
      </c>
      <c r="J67" s="103"/>
      <c r="K67" s="110"/>
      <c r="L67" s="110"/>
      <c r="M67" s="111">
        <f t="shared" si="7"/>
        <v>499862</v>
      </c>
      <c r="N67" s="112"/>
    </row>
    <row r="68" spans="1:14">
      <c r="A68" s="108" t="s">
        <v>373</v>
      </c>
      <c r="B68" s="103"/>
      <c r="E68" s="195">
        <v>1218600</v>
      </c>
      <c r="G68" s="103"/>
      <c r="H68" s="103"/>
      <c r="I68" s="103">
        <f t="shared" si="8"/>
        <v>1218600</v>
      </c>
      <c r="J68" s="103"/>
      <c r="K68" s="110"/>
      <c r="L68" s="110"/>
      <c r="M68" s="111">
        <f t="shared" si="7"/>
        <v>1218600</v>
      </c>
      <c r="N68" s="112"/>
    </row>
    <row r="69" spans="1:14">
      <c r="A69" s="108" t="s">
        <v>597</v>
      </c>
      <c r="B69" s="103"/>
      <c r="E69" s="195">
        <v>469462.5</v>
      </c>
      <c r="G69" s="103"/>
      <c r="H69" s="103"/>
      <c r="I69" s="103">
        <f t="shared" si="8"/>
        <v>469462.5</v>
      </c>
      <c r="J69" s="103"/>
      <c r="K69" s="110"/>
      <c r="L69" s="110"/>
      <c r="M69" s="111">
        <f t="shared" si="7"/>
        <v>469462.5</v>
      </c>
      <c r="N69" s="112"/>
    </row>
    <row r="70" spans="1:14">
      <c r="A70" s="108" t="s">
        <v>406</v>
      </c>
      <c r="B70" s="103"/>
      <c r="E70" s="195">
        <f>825775.98+400000</f>
        <v>1225775.98</v>
      </c>
      <c r="G70" s="103"/>
      <c r="H70" s="103"/>
      <c r="I70" s="103">
        <f t="shared" si="8"/>
        <v>1225775.98</v>
      </c>
      <c r="J70" s="103"/>
      <c r="K70" s="110"/>
      <c r="L70" s="110"/>
      <c r="M70" s="111">
        <f t="shared" si="7"/>
        <v>1225775.98</v>
      </c>
      <c r="N70" s="112"/>
    </row>
    <row r="71" spans="1:14">
      <c r="A71" s="108" t="s">
        <v>404</v>
      </c>
      <c r="B71" s="103"/>
      <c r="E71" s="195">
        <v>259642</v>
      </c>
      <c r="G71" s="103"/>
      <c r="H71" s="103"/>
      <c r="I71" s="103">
        <f t="shared" si="8"/>
        <v>259642</v>
      </c>
      <c r="J71" s="103"/>
      <c r="K71" s="110"/>
      <c r="L71" s="110"/>
      <c r="M71" s="111">
        <f t="shared" si="7"/>
        <v>259642</v>
      </c>
      <c r="N71" s="112"/>
    </row>
    <row r="72" spans="1:14">
      <c r="A72" s="108" t="s">
        <v>374</v>
      </c>
      <c r="B72" s="103"/>
      <c r="E72" s="195">
        <v>2000000</v>
      </c>
      <c r="G72" s="103"/>
      <c r="H72" s="103"/>
      <c r="I72" s="103">
        <f t="shared" si="8"/>
        <v>2000000</v>
      </c>
      <c r="J72" s="103"/>
      <c r="K72" s="110"/>
      <c r="L72" s="110"/>
      <c r="M72" s="111">
        <f t="shared" si="7"/>
        <v>2000000</v>
      </c>
      <c r="N72" s="112"/>
    </row>
    <row r="73" spans="1:14">
      <c r="A73" s="108" t="s">
        <v>60</v>
      </c>
      <c r="B73" s="103"/>
      <c r="E73" s="195">
        <v>2189166.12</v>
      </c>
      <c r="G73" s="103"/>
      <c r="H73" s="103"/>
      <c r="I73" s="103">
        <f t="shared" si="8"/>
        <v>2189166.12</v>
      </c>
      <c r="J73" s="103"/>
      <c r="K73" s="110"/>
      <c r="L73" s="110"/>
      <c r="M73" s="111">
        <f t="shared" si="7"/>
        <v>2189166.12</v>
      </c>
      <c r="N73" s="112"/>
    </row>
    <row r="74" spans="1:14">
      <c r="A74" s="118" t="s">
        <v>355</v>
      </c>
      <c r="B74" s="103"/>
      <c r="E74" s="195">
        <v>8039033.5</v>
      </c>
      <c r="G74" s="103"/>
      <c r="H74" s="103"/>
      <c r="I74" s="103">
        <v>0</v>
      </c>
      <c r="J74" s="103"/>
      <c r="K74" s="110"/>
      <c r="L74" s="110"/>
      <c r="M74" s="111">
        <f t="shared" si="7"/>
        <v>0</v>
      </c>
      <c r="N74" s="112"/>
    </row>
    <row r="75" spans="1:14">
      <c r="A75" s="108" t="s">
        <v>62</v>
      </c>
      <c r="B75" s="103"/>
      <c r="E75" s="195">
        <v>4712798</v>
      </c>
      <c r="G75" s="103"/>
      <c r="H75" s="103"/>
      <c r="I75" s="103">
        <f t="shared" si="8"/>
        <v>4712798</v>
      </c>
      <c r="J75" s="103"/>
      <c r="K75" s="110"/>
      <c r="L75" s="110"/>
      <c r="M75" s="111">
        <f t="shared" si="7"/>
        <v>4712798</v>
      </c>
      <c r="N75" s="112"/>
    </row>
    <row r="76" spans="1:14">
      <c r="A76" s="108" t="s">
        <v>63</v>
      </c>
      <c r="B76" s="103"/>
      <c r="E76" s="195">
        <v>18450954.829999998</v>
      </c>
      <c r="F76" s="195">
        <v>0</v>
      </c>
      <c r="G76" s="103"/>
      <c r="H76" s="103"/>
      <c r="I76" s="103">
        <f>C76+E76-F76</f>
        <v>18450954.829999998</v>
      </c>
      <c r="J76" s="103"/>
      <c r="K76" s="110"/>
      <c r="L76" s="110"/>
      <c r="M76" s="111">
        <f t="shared" si="7"/>
        <v>18450954.829999998</v>
      </c>
      <c r="N76" s="112"/>
    </row>
    <row r="77" spans="1:14">
      <c r="A77" s="108" t="s">
        <v>375</v>
      </c>
      <c r="B77" s="103"/>
      <c r="E77" s="195">
        <v>240000</v>
      </c>
      <c r="G77" s="103"/>
      <c r="H77" s="103"/>
      <c r="I77" s="103">
        <f t="shared" si="8"/>
        <v>240000</v>
      </c>
      <c r="J77" s="103"/>
      <c r="K77" s="110"/>
      <c r="L77" s="110"/>
      <c r="M77" s="111">
        <f t="shared" si="7"/>
        <v>240000</v>
      </c>
      <c r="N77" s="112"/>
    </row>
    <row r="78" spans="1:14">
      <c r="A78" s="108" t="s">
        <v>243</v>
      </c>
      <c r="B78" s="103"/>
      <c r="E78" s="195">
        <v>368560</v>
      </c>
      <c r="G78" s="103"/>
      <c r="H78" s="103"/>
      <c r="I78" s="103">
        <f t="shared" si="8"/>
        <v>368560</v>
      </c>
      <c r="J78" s="103"/>
      <c r="K78" s="110"/>
      <c r="L78" s="110"/>
      <c r="M78" s="111">
        <f t="shared" si="7"/>
        <v>368560</v>
      </c>
      <c r="N78" s="112"/>
    </row>
    <row r="79" spans="1:14">
      <c r="A79" s="108" t="s">
        <v>617</v>
      </c>
      <c r="B79" s="103"/>
      <c r="E79" s="195">
        <v>1632450</v>
      </c>
      <c r="G79" s="103"/>
      <c r="H79" s="103"/>
      <c r="I79" s="103">
        <f t="shared" si="8"/>
        <v>1632450</v>
      </c>
      <c r="J79" s="103"/>
      <c r="K79" s="110"/>
      <c r="L79" s="110"/>
      <c r="M79" s="111">
        <f t="shared" si="7"/>
        <v>1632450</v>
      </c>
      <c r="N79" s="112"/>
    </row>
    <row r="80" spans="1:14">
      <c r="A80" s="108" t="s">
        <v>377</v>
      </c>
      <c r="B80" s="103"/>
      <c r="E80" s="195">
        <f>155000</f>
        <v>155000</v>
      </c>
      <c r="G80" s="103"/>
      <c r="H80" s="103"/>
      <c r="I80" s="103">
        <f t="shared" si="8"/>
        <v>155000</v>
      </c>
      <c r="J80" s="103"/>
      <c r="K80" s="110"/>
      <c r="L80" s="110"/>
      <c r="M80" s="111">
        <f t="shared" si="7"/>
        <v>155000</v>
      </c>
      <c r="N80" s="112"/>
    </row>
    <row r="81" spans="1:14">
      <c r="A81" s="108" t="s">
        <v>99</v>
      </c>
      <c r="B81" s="103"/>
      <c r="E81" s="195">
        <v>1587492</v>
      </c>
      <c r="G81" s="103"/>
      <c r="H81" s="103"/>
      <c r="I81" s="103">
        <f t="shared" si="8"/>
        <v>1587492</v>
      </c>
      <c r="J81" s="103"/>
      <c r="K81" s="110"/>
      <c r="L81" s="110"/>
      <c r="M81" s="111">
        <f t="shared" si="7"/>
        <v>1587492</v>
      </c>
      <c r="N81" s="112"/>
    </row>
    <row r="82" spans="1:14">
      <c r="A82" s="108" t="s">
        <v>247</v>
      </c>
      <c r="B82" s="103"/>
      <c r="E82" s="195">
        <v>360276.02</v>
      </c>
      <c r="G82" s="103"/>
      <c r="H82" s="103"/>
      <c r="I82" s="103">
        <f t="shared" si="8"/>
        <v>360276.02</v>
      </c>
      <c r="J82" s="103"/>
      <c r="K82" s="110"/>
      <c r="L82" s="110"/>
      <c r="M82" s="111">
        <f t="shared" si="7"/>
        <v>360276.02</v>
      </c>
      <c r="N82" s="112"/>
    </row>
    <row r="83" spans="1:14">
      <c r="A83" s="108" t="s">
        <v>405</v>
      </c>
      <c r="B83" s="103"/>
      <c r="E83" s="195">
        <v>2843268.05</v>
      </c>
      <c r="G83" s="103"/>
      <c r="H83" s="103"/>
      <c r="I83" s="103">
        <f t="shared" si="8"/>
        <v>2843268.05</v>
      </c>
      <c r="J83" s="103"/>
      <c r="K83" s="110"/>
      <c r="L83" s="110"/>
      <c r="M83" s="111">
        <f t="shared" si="7"/>
        <v>2843268.05</v>
      </c>
      <c r="N83" s="112"/>
    </row>
    <row r="84" spans="1:14">
      <c r="A84" s="108" t="s">
        <v>598</v>
      </c>
      <c r="B84" s="103"/>
      <c r="E84" s="195">
        <v>0</v>
      </c>
      <c r="G84" s="103"/>
      <c r="H84" s="103"/>
      <c r="I84" s="103">
        <f t="shared" si="8"/>
        <v>0</v>
      </c>
      <c r="J84" s="103"/>
      <c r="K84" s="110"/>
      <c r="L84" s="110"/>
      <c r="M84" s="111">
        <f t="shared" si="7"/>
        <v>0</v>
      </c>
      <c r="N84" s="112"/>
    </row>
    <row r="85" spans="1:14">
      <c r="A85" s="108" t="s">
        <v>316</v>
      </c>
      <c r="B85" s="103"/>
      <c r="E85" s="195">
        <v>411177366.29000002</v>
      </c>
      <c r="G85" s="103"/>
      <c r="H85" s="103"/>
      <c r="I85" s="103">
        <f t="shared" si="8"/>
        <v>411177366.29000002</v>
      </c>
      <c r="J85" s="103"/>
      <c r="K85" s="110"/>
      <c r="L85" s="110"/>
      <c r="M85" s="111"/>
      <c r="N85" s="112"/>
    </row>
    <row r="86" spans="1:14">
      <c r="A86" s="108"/>
      <c r="B86" s="103"/>
      <c r="G86" s="103"/>
      <c r="H86" s="103"/>
      <c r="I86" s="103"/>
      <c r="J86" s="103"/>
      <c r="K86" s="110"/>
      <c r="L86" s="110"/>
      <c r="M86" s="111"/>
      <c r="N86" s="112"/>
    </row>
    <row r="87" spans="1:14">
      <c r="A87" s="108"/>
      <c r="B87" s="103"/>
      <c r="G87" s="103"/>
      <c r="H87" s="103"/>
      <c r="I87" s="103"/>
      <c r="J87" s="103"/>
      <c r="K87" s="110"/>
      <c r="L87" s="110"/>
      <c r="M87" s="111"/>
      <c r="N87" s="112"/>
    </row>
    <row r="88" spans="1:14">
      <c r="A88" s="108"/>
      <c r="B88" s="103"/>
      <c r="C88" s="114">
        <f t="shared" ref="C88:D88" si="9">SUM(C9:C87)</f>
        <v>232875262</v>
      </c>
      <c r="D88" s="114">
        <f t="shared" si="9"/>
        <v>232875262</v>
      </c>
      <c r="E88" s="195">
        <f t="shared" ref="E88:L88" si="10">SUM(E9:E87)</f>
        <v>1680628238.6699998</v>
      </c>
      <c r="F88" s="195">
        <f t="shared" si="10"/>
        <v>1680028344.6900001</v>
      </c>
      <c r="G88" s="103">
        <f t="shared" si="10"/>
        <v>0</v>
      </c>
      <c r="H88" s="103">
        <f t="shared" si="10"/>
        <v>0</v>
      </c>
      <c r="I88" s="103">
        <f t="shared" si="10"/>
        <v>1080850074.1800001</v>
      </c>
      <c r="J88" s="103">
        <f t="shared" si="10"/>
        <v>964929599.70000005</v>
      </c>
      <c r="K88" s="110">
        <f t="shared" si="10"/>
        <v>275927653.58999997</v>
      </c>
      <c r="L88" s="110">
        <f t="shared" si="10"/>
        <v>188487029</v>
      </c>
      <c r="M88" s="111">
        <f>SUM(M49:M87)</f>
        <v>393745054.29999995</v>
      </c>
      <c r="N88" s="112">
        <f>SUM(N49:N87)</f>
        <v>663504264.70000005</v>
      </c>
    </row>
    <row r="89" spans="1:14">
      <c r="A89" s="108"/>
      <c r="B89" s="103"/>
      <c r="G89" s="103"/>
      <c r="H89" s="103"/>
      <c r="I89" s="103"/>
      <c r="J89" s="103"/>
      <c r="K89" s="110"/>
      <c r="L89" s="110"/>
      <c r="M89" s="111"/>
      <c r="N89" s="112"/>
    </row>
    <row r="90" spans="1:14">
      <c r="A90" s="108"/>
      <c r="B90" s="103"/>
      <c r="D90" s="114">
        <f>C88-D88</f>
        <v>0</v>
      </c>
      <c r="F90" s="195">
        <f>E88-F88</f>
        <v>599893.97999978065</v>
      </c>
      <c r="G90" s="103"/>
      <c r="H90" s="103"/>
      <c r="I90" s="103"/>
      <c r="J90" s="103"/>
      <c r="K90" s="110"/>
      <c r="L90" s="110"/>
      <c r="M90" s="111"/>
      <c r="N90" s="112"/>
    </row>
    <row r="91" spans="1:14">
      <c r="A91" s="108" t="s">
        <v>378</v>
      </c>
      <c r="B91" s="103"/>
      <c r="G91" s="103"/>
      <c r="H91" s="103"/>
      <c r="I91" s="103"/>
      <c r="J91" s="103">
        <f>I88-J88</f>
        <v>115920474.48000002</v>
      </c>
      <c r="K91" s="110"/>
      <c r="L91" s="110">
        <f>K88-L88</f>
        <v>87440624.589999974</v>
      </c>
      <c r="M91" s="111"/>
      <c r="N91" s="112">
        <f>M88-N88</f>
        <v>-269759210.4000001</v>
      </c>
    </row>
    <row r="92" spans="1:14">
      <c r="A92" s="108"/>
      <c r="B92" s="103"/>
      <c r="G92" s="103"/>
      <c r="H92" s="103"/>
      <c r="I92" s="103"/>
      <c r="J92" s="103"/>
      <c r="K92" s="110"/>
      <c r="L92" s="110"/>
      <c r="M92" s="111"/>
      <c r="N92" s="112"/>
    </row>
    <row r="93" spans="1:14">
      <c r="A93" s="108"/>
      <c r="B93" s="103"/>
      <c r="G93" s="103"/>
      <c r="H93" s="103"/>
      <c r="I93" s="103"/>
      <c r="J93" s="122">
        <f>F90-J91</f>
        <v>-115320580.50000024</v>
      </c>
      <c r="K93" s="110"/>
      <c r="L93" s="110"/>
      <c r="M93" s="111"/>
      <c r="N93" s="112"/>
    </row>
    <row r="94" spans="1:14">
      <c r="A94" s="108"/>
      <c r="B94" s="103"/>
      <c r="G94" s="103"/>
      <c r="H94" s="103"/>
      <c r="I94" s="103"/>
      <c r="J94" s="103"/>
      <c r="K94" s="110"/>
      <c r="L94" s="110"/>
      <c r="M94" s="111"/>
      <c r="N94" s="112"/>
    </row>
    <row r="95" spans="1:14">
      <c r="A95" s="108"/>
      <c r="B95" s="103"/>
      <c r="G95" s="103"/>
      <c r="H95" s="103"/>
      <c r="I95" s="103"/>
      <c r="J95" s="103"/>
      <c r="K95" s="110"/>
      <c r="L95" s="110"/>
      <c r="M95" s="111"/>
      <c r="N95" s="112"/>
    </row>
    <row r="96" spans="1:14">
      <c r="A96" s="123"/>
      <c r="B96" s="124"/>
      <c r="G96" s="124"/>
      <c r="H96" s="124"/>
      <c r="I96" s="124"/>
      <c r="J96" s="124"/>
      <c r="K96" s="125"/>
      <c r="L96" s="125"/>
      <c r="M96" s="126"/>
      <c r="N96" s="127"/>
    </row>
    <row r="101" spans="13:13">
      <c r="M101" s="129">
        <f>L91+N91</f>
        <v>-182318585.81000012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2"/>
  <sheetViews>
    <sheetView topLeftCell="B1" workbookViewId="0">
      <selection activeCell="P20" sqref="P20"/>
    </sheetView>
  </sheetViews>
  <sheetFormatPr defaultRowHeight="15"/>
  <cols>
    <col min="4" max="5" width="13.28515625" customWidth="1"/>
    <col min="6" max="6" width="13.85546875" customWidth="1"/>
    <col min="7" max="7" width="12.85546875" customWidth="1"/>
    <col min="8" max="11" width="12.140625" bestFit="1" customWidth="1"/>
    <col min="12" max="12" width="11.140625" customWidth="1"/>
    <col min="13" max="13" width="12.140625" bestFit="1" customWidth="1"/>
    <col min="14" max="14" width="11.28515625" customWidth="1"/>
    <col min="15" max="15" width="11.5703125" customWidth="1"/>
    <col min="16" max="16" width="12.85546875" customWidth="1"/>
  </cols>
  <sheetData>
    <row r="1" spans="1:16" ht="15.75" thickBot="1">
      <c r="A1" s="209" t="s">
        <v>403</v>
      </c>
      <c r="B1" s="210"/>
      <c r="C1" s="210"/>
      <c r="D1" s="211"/>
    </row>
    <row r="3" spans="1:16">
      <c r="A3" s="70"/>
      <c r="B3" s="70"/>
      <c r="C3" s="70"/>
      <c r="D3" s="70" t="s">
        <v>402</v>
      </c>
      <c r="E3" s="70" t="s">
        <v>401</v>
      </c>
      <c r="F3" s="70" t="s">
        <v>400</v>
      </c>
      <c r="G3" s="70" t="s">
        <v>399</v>
      </c>
      <c r="H3" s="70" t="s">
        <v>398</v>
      </c>
      <c r="I3" s="70" t="s">
        <v>397</v>
      </c>
      <c r="J3" s="70" t="s">
        <v>396</v>
      </c>
      <c r="K3" s="70" t="s">
        <v>395</v>
      </c>
      <c r="L3" s="70" t="s">
        <v>394</v>
      </c>
      <c r="M3" s="70" t="s">
        <v>393</v>
      </c>
      <c r="N3" s="70" t="s">
        <v>392</v>
      </c>
      <c r="O3" s="70" t="s">
        <v>391</v>
      </c>
      <c r="P3" s="70" t="s">
        <v>22</v>
      </c>
    </row>
    <row r="4" spans="1:16">
      <c r="A4" s="70" t="s">
        <v>390</v>
      </c>
      <c r="B4" s="130" t="s">
        <v>389</v>
      </c>
      <c r="C4" s="7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6">
      <c r="A5" s="70">
        <v>1</v>
      </c>
      <c r="B5" s="132" t="s">
        <v>388</v>
      </c>
      <c r="C5" s="70"/>
      <c r="D5" s="72">
        <v>274000</v>
      </c>
      <c r="E5" s="72">
        <v>274000</v>
      </c>
      <c r="F5" s="72">
        <v>294000</v>
      </c>
      <c r="G5" s="72">
        <v>294000</v>
      </c>
      <c r="H5" s="72">
        <v>304000</v>
      </c>
      <c r="I5" s="72">
        <v>370000</v>
      </c>
      <c r="J5" s="72">
        <v>435000</v>
      </c>
      <c r="K5" s="72">
        <v>435000</v>
      </c>
      <c r="L5" s="72">
        <v>455000</v>
      </c>
      <c r="M5" s="72">
        <v>432000</v>
      </c>
      <c r="N5" s="72">
        <v>412000</v>
      </c>
      <c r="O5" s="72">
        <v>392000</v>
      </c>
      <c r="P5" s="72">
        <f t="shared" ref="P5:P18" si="0">SUM(D5:O5)</f>
        <v>4371000</v>
      </c>
    </row>
    <row r="6" spans="1:16">
      <c r="A6" s="70">
        <f t="shared" ref="A6:A18" si="1">A5+1</f>
        <v>2</v>
      </c>
      <c r="B6" s="70" t="s">
        <v>387</v>
      </c>
      <c r="C6" s="70"/>
      <c r="D6" s="72">
        <v>748500</v>
      </c>
      <c r="E6" s="72">
        <v>748500</v>
      </c>
      <c r="F6" s="72">
        <v>748500</v>
      </c>
      <c r="G6" s="72">
        <v>766500</v>
      </c>
      <c r="H6" s="72">
        <v>821500</v>
      </c>
      <c r="I6" s="72">
        <v>881500</v>
      </c>
      <c r="J6" s="72">
        <v>881500</v>
      </c>
      <c r="K6" s="72">
        <v>851500</v>
      </c>
      <c r="L6" s="72">
        <v>881500</v>
      </c>
      <c r="M6" s="72">
        <v>844000</v>
      </c>
      <c r="N6" s="72">
        <v>859000</v>
      </c>
      <c r="O6" s="72">
        <v>834000</v>
      </c>
      <c r="P6" s="72">
        <f t="shared" si="0"/>
        <v>9866500</v>
      </c>
    </row>
    <row r="7" spans="1:16">
      <c r="A7" s="70">
        <f t="shared" si="1"/>
        <v>3</v>
      </c>
      <c r="B7" s="70" t="s">
        <v>34</v>
      </c>
      <c r="C7" s="70"/>
      <c r="D7" s="72">
        <v>522000</v>
      </c>
      <c r="E7" s="72">
        <v>545000</v>
      </c>
      <c r="F7" s="72">
        <v>545000</v>
      </c>
      <c r="G7" s="72">
        <v>574000</v>
      </c>
      <c r="H7" s="72">
        <v>634000</v>
      </c>
      <c r="I7" s="72">
        <v>591500</v>
      </c>
      <c r="J7" s="72">
        <v>630000</v>
      </c>
      <c r="K7" s="72">
        <v>604500</v>
      </c>
      <c r="L7" s="72">
        <v>576000</v>
      </c>
      <c r="M7" s="72">
        <v>576000</v>
      </c>
      <c r="N7" s="72">
        <v>594000</v>
      </c>
      <c r="O7" s="72">
        <v>585500</v>
      </c>
      <c r="P7" s="72">
        <f t="shared" si="0"/>
        <v>6977500</v>
      </c>
    </row>
    <row r="8" spans="1:16">
      <c r="A8" s="70">
        <f t="shared" si="1"/>
        <v>4</v>
      </c>
      <c r="B8" s="70" t="s">
        <v>40</v>
      </c>
      <c r="C8" s="70"/>
      <c r="D8" s="72">
        <v>466000</v>
      </c>
      <c r="E8" s="72">
        <v>443500</v>
      </c>
      <c r="F8" s="72">
        <v>416000</v>
      </c>
      <c r="G8" s="72">
        <v>416000</v>
      </c>
      <c r="H8" s="72">
        <v>456500</v>
      </c>
      <c r="I8" s="72">
        <v>395500</v>
      </c>
      <c r="J8" s="72">
        <v>415500</v>
      </c>
      <c r="K8" s="72">
        <v>440500</v>
      </c>
      <c r="L8" s="72">
        <v>468500</v>
      </c>
      <c r="M8" s="72">
        <v>465000</v>
      </c>
      <c r="N8" s="72">
        <v>447000</v>
      </c>
      <c r="O8" s="72">
        <v>427000</v>
      </c>
      <c r="P8" s="72">
        <f t="shared" si="0"/>
        <v>5257000</v>
      </c>
    </row>
    <row r="9" spans="1:16">
      <c r="A9" s="70">
        <f t="shared" si="1"/>
        <v>5</v>
      </c>
      <c r="B9" s="70" t="s">
        <v>386</v>
      </c>
      <c r="C9" s="70"/>
      <c r="D9" s="72">
        <v>90000</v>
      </c>
      <c r="E9" s="72">
        <v>90000</v>
      </c>
      <c r="F9" s="72">
        <v>90000</v>
      </c>
      <c r="G9" s="72">
        <v>90000</v>
      </c>
      <c r="H9" s="72">
        <v>90000</v>
      </c>
      <c r="I9" s="72">
        <v>90000</v>
      </c>
      <c r="J9" s="72">
        <v>90000</v>
      </c>
      <c r="K9" s="72">
        <v>90000</v>
      </c>
      <c r="L9" s="72">
        <v>90000</v>
      </c>
      <c r="M9" s="72">
        <v>90000</v>
      </c>
      <c r="N9" s="72">
        <v>108000</v>
      </c>
      <c r="O9" s="72">
        <v>108000</v>
      </c>
      <c r="P9" s="72">
        <f t="shared" si="0"/>
        <v>1116000</v>
      </c>
    </row>
    <row r="10" spans="1:16">
      <c r="A10" s="70">
        <f t="shared" si="1"/>
        <v>6</v>
      </c>
      <c r="B10" s="70" t="s">
        <v>385</v>
      </c>
      <c r="C10" s="70"/>
      <c r="D10" s="72">
        <v>1182000</v>
      </c>
      <c r="E10" s="72">
        <v>1125500</v>
      </c>
      <c r="F10" s="72">
        <v>1033000</v>
      </c>
      <c r="G10" s="72">
        <v>1036500</v>
      </c>
      <c r="H10" s="72">
        <v>1200500</v>
      </c>
      <c r="I10" s="72">
        <v>1213500</v>
      </c>
      <c r="J10" s="72">
        <v>1199000</v>
      </c>
      <c r="K10" s="72">
        <v>1160000</v>
      </c>
      <c r="L10" s="72">
        <v>1213000</v>
      </c>
      <c r="M10" s="72">
        <v>1148000</v>
      </c>
      <c r="N10" s="72">
        <v>1148000</v>
      </c>
      <c r="O10" s="72">
        <v>1161500</v>
      </c>
      <c r="P10" s="72">
        <f t="shared" si="0"/>
        <v>13820500</v>
      </c>
    </row>
    <row r="11" spans="1:16">
      <c r="A11" s="70">
        <f t="shared" si="1"/>
        <v>7</v>
      </c>
      <c r="B11" s="70" t="s">
        <v>384</v>
      </c>
      <c r="C11" s="70"/>
      <c r="D11" s="72">
        <v>115000</v>
      </c>
      <c r="E11" s="72">
        <v>115000</v>
      </c>
      <c r="F11" s="72">
        <v>115000</v>
      </c>
      <c r="G11" s="72">
        <v>60000</v>
      </c>
      <c r="H11" s="72">
        <v>62500</v>
      </c>
      <c r="I11" s="72">
        <v>62500</v>
      </c>
      <c r="J11" s="72">
        <v>116500</v>
      </c>
      <c r="K11" s="72">
        <v>98500</v>
      </c>
      <c r="L11" s="72">
        <v>98500</v>
      </c>
      <c r="M11" s="72">
        <v>98500</v>
      </c>
      <c r="N11" s="72">
        <v>98500</v>
      </c>
      <c r="O11" s="72">
        <v>98500</v>
      </c>
      <c r="P11" s="72">
        <f t="shared" si="0"/>
        <v>1139000</v>
      </c>
    </row>
    <row r="12" spans="1:16">
      <c r="A12" s="70">
        <f t="shared" si="1"/>
        <v>8</v>
      </c>
      <c r="B12" s="133" t="s">
        <v>231</v>
      </c>
      <c r="C12" s="133"/>
      <c r="D12" s="134">
        <v>555000</v>
      </c>
      <c r="E12" s="134">
        <v>552500</v>
      </c>
      <c r="F12" s="134">
        <v>457500</v>
      </c>
      <c r="G12" s="134">
        <v>473500</v>
      </c>
      <c r="H12" s="134">
        <v>495500</v>
      </c>
      <c r="I12" s="134">
        <v>557500</v>
      </c>
      <c r="J12" s="134">
        <v>580000</v>
      </c>
      <c r="K12" s="134">
        <v>595000</v>
      </c>
      <c r="L12" s="134">
        <v>595000</v>
      </c>
      <c r="M12" s="134">
        <v>602500</v>
      </c>
      <c r="N12" s="134">
        <v>520000</v>
      </c>
      <c r="O12" s="134">
        <v>660000</v>
      </c>
      <c r="P12" s="134">
        <f t="shared" si="0"/>
        <v>6644000</v>
      </c>
    </row>
    <row r="13" spans="1:16">
      <c r="A13" s="70">
        <f t="shared" si="1"/>
        <v>9</v>
      </c>
      <c r="B13" s="70" t="s">
        <v>383</v>
      </c>
      <c r="C13" s="70"/>
      <c r="D13" s="72">
        <v>40000</v>
      </c>
      <c r="E13" s="72">
        <v>40000</v>
      </c>
      <c r="F13" s="72">
        <v>40000</v>
      </c>
      <c r="G13" s="72">
        <v>40000</v>
      </c>
      <c r="H13" s="72">
        <v>61000</v>
      </c>
      <c r="I13" s="72">
        <v>61000</v>
      </c>
      <c r="J13" s="72">
        <v>61000</v>
      </c>
      <c r="K13" s="72">
        <v>61000</v>
      </c>
      <c r="L13" s="72">
        <v>61000</v>
      </c>
      <c r="M13" s="72">
        <v>79000</v>
      </c>
      <c r="N13" s="72">
        <v>79000</v>
      </c>
      <c r="O13" s="72">
        <v>79000</v>
      </c>
      <c r="P13" s="72">
        <f t="shared" si="0"/>
        <v>702000</v>
      </c>
    </row>
    <row r="14" spans="1:16">
      <c r="A14" s="70">
        <f t="shared" si="1"/>
        <v>10</v>
      </c>
      <c r="B14" s="135" t="s">
        <v>382</v>
      </c>
      <c r="C14" s="135"/>
      <c r="D14" s="136">
        <v>505000</v>
      </c>
      <c r="E14" s="136">
        <v>505000</v>
      </c>
      <c r="F14" s="136">
        <v>505000</v>
      </c>
      <c r="G14" s="136">
        <v>479500</v>
      </c>
      <c r="H14" s="136">
        <v>547500</v>
      </c>
      <c r="I14" s="136">
        <v>547500</v>
      </c>
      <c r="J14" s="136">
        <v>565500</v>
      </c>
      <c r="K14" s="136">
        <v>565500</v>
      </c>
      <c r="L14" s="136">
        <v>547500</v>
      </c>
      <c r="M14" s="136">
        <v>565500</v>
      </c>
      <c r="N14" s="136">
        <v>565500</v>
      </c>
      <c r="O14" s="136">
        <v>565500</v>
      </c>
      <c r="P14" s="136">
        <f t="shared" si="0"/>
        <v>6464500</v>
      </c>
    </row>
    <row r="15" spans="1:16">
      <c r="A15" s="70">
        <f t="shared" si="1"/>
        <v>11</v>
      </c>
      <c r="B15" s="70" t="s">
        <v>375</v>
      </c>
      <c r="C15" s="70"/>
      <c r="D15" s="72">
        <v>450000</v>
      </c>
      <c r="E15" s="72">
        <v>570000</v>
      </c>
      <c r="F15" s="72">
        <v>490000</v>
      </c>
      <c r="G15" s="72">
        <v>490000</v>
      </c>
      <c r="H15" s="72">
        <v>449000</v>
      </c>
      <c r="I15" s="72">
        <v>609000</v>
      </c>
      <c r="J15" s="72">
        <v>589000</v>
      </c>
      <c r="K15" s="72">
        <v>509000</v>
      </c>
      <c r="L15" s="72">
        <v>447000</v>
      </c>
      <c r="M15" s="72">
        <v>447000</v>
      </c>
      <c r="N15" s="72">
        <v>427000</v>
      </c>
      <c r="O15" s="72">
        <v>467000</v>
      </c>
      <c r="P15" s="72">
        <f t="shared" si="0"/>
        <v>5944000</v>
      </c>
    </row>
    <row r="16" spans="1:16">
      <c r="A16" s="70">
        <f t="shared" si="1"/>
        <v>12</v>
      </c>
      <c r="B16" s="70" t="s">
        <v>381</v>
      </c>
      <c r="C16" s="70"/>
      <c r="D16" s="72">
        <v>385000</v>
      </c>
      <c r="E16" s="72">
        <v>385000</v>
      </c>
      <c r="F16" s="72">
        <v>367000</v>
      </c>
      <c r="G16" s="72">
        <v>367000</v>
      </c>
      <c r="H16" s="72">
        <v>380000</v>
      </c>
      <c r="I16" s="72">
        <v>416000</v>
      </c>
      <c r="J16" s="72">
        <v>416000</v>
      </c>
      <c r="K16" s="72">
        <v>416000</v>
      </c>
      <c r="L16" s="72">
        <v>446000</v>
      </c>
      <c r="M16" s="72">
        <v>446000</v>
      </c>
      <c r="N16" s="72">
        <v>428000</v>
      </c>
      <c r="O16" s="72">
        <v>428000</v>
      </c>
      <c r="P16" s="72">
        <f t="shared" si="0"/>
        <v>4880000</v>
      </c>
    </row>
    <row r="17" spans="1:16">
      <c r="A17" s="70">
        <f t="shared" si="1"/>
        <v>13</v>
      </c>
      <c r="B17" s="70" t="s">
        <v>380</v>
      </c>
      <c r="C17" s="70"/>
      <c r="D17" s="72">
        <v>368000</v>
      </c>
      <c r="E17" s="72">
        <v>422000</v>
      </c>
      <c r="F17" s="72">
        <v>636000</v>
      </c>
      <c r="G17" s="72">
        <v>688000</v>
      </c>
      <c r="H17" s="72">
        <v>673000</v>
      </c>
      <c r="I17" s="72">
        <v>496000</v>
      </c>
      <c r="J17" s="72">
        <v>506000</v>
      </c>
      <c r="K17" s="72">
        <v>524000</v>
      </c>
      <c r="L17" s="72">
        <v>550000</v>
      </c>
      <c r="M17" s="72">
        <v>539000</v>
      </c>
      <c r="N17" s="72">
        <v>503000</v>
      </c>
      <c r="O17" s="72">
        <v>379000</v>
      </c>
      <c r="P17" s="72">
        <f t="shared" si="0"/>
        <v>6284000</v>
      </c>
    </row>
    <row r="18" spans="1:16">
      <c r="A18" s="70">
        <f t="shared" si="1"/>
        <v>14</v>
      </c>
      <c r="B18" s="70" t="s">
        <v>379</v>
      </c>
      <c r="C18" s="70"/>
      <c r="D18" s="72">
        <v>165000</v>
      </c>
      <c r="E18" s="72">
        <v>264000</v>
      </c>
      <c r="F18" s="72">
        <v>15000</v>
      </c>
      <c r="G18" s="72">
        <v>596000</v>
      </c>
      <c r="H18" s="72">
        <v>216000</v>
      </c>
      <c r="I18" s="72">
        <v>488000</v>
      </c>
      <c r="J18" s="72">
        <v>344000</v>
      </c>
      <c r="K18" s="72">
        <v>252000</v>
      </c>
      <c r="L18" s="72">
        <v>324000</v>
      </c>
      <c r="M18" s="72">
        <v>126000</v>
      </c>
      <c r="N18" s="72">
        <v>162000</v>
      </c>
      <c r="O18" s="72">
        <v>324000</v>
      </c>
      <c r="P18" s="72">
        <f t="shared" si="0"/>
        <v>3276000</v>
      </c>
    </row>
    <row r="19" spans="1:16">
      <c r="A19" s="70"/>
      <c r="B19" s="70"/>
      <c r="C19" s="70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1:16">
      <c r="A20" s="70"/>
      <c r="B20" s="70"/>
      <c r="C20" s="70"/>
      <c r="D20" s="74">
        <f>SUM(D5:D19)</f>
        <v>5865500</v>
      </c>
      <c r="E20" s="74">
        <f t="shared" ref="E20:O20" si="2">SUM(E5:E19)</f>
        <v>6080000</v>
      </c>
      <c r="F20" s="74">
        <f t="shared" si="2"/>
        <v>5752000</v>
      </c>
      <c r="G20" s="74">
        <f t="shared" si="2"/>
        <v>6371000</v>
      </c>
      <c r="H20" s="74">
        <f t="shared" si="2"/>
        <v>6391000</v>
      </c>
      <c r="I20" s="74">
        <f t="shared" si="2"/>
        <v>6779500</v>
      </c>
      <c r="J20" s="74">
        <f t="shared" si="2"/>
        <v>6829000</v>
      </c>
      <c r="K20" s="74">
        <f t="shared" si="2"/>
        <v>6602500</v>
      </c>
      <c r="L20" s="74">
        <f t="shared" si="2"/>
        <v>6753000</v>
      </c>
      <c r="M20" s="74">
        <f t="shared" si="2"/>
        <v>6458500</v>
      </c>
      <c r="N20" s="74">
        <f t="shared" si="2"/>
        <v>6351000</v>
      </c>
      <c r="O20" s="74">
        <f t="shared" si="2"/>
        <v>6509000</v>
      </c>
      <c r="P20" s="74">
        <f>SUM(P5:P19)</f>
        <v>76742000</v>
      </c>
    </row>
    <row r="21" spans="1:16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topLeftCell="A44" workbookViewId="0">
      <selection activeCell="H42" sqref="H42"/>
    </sheetView>
  </sheetViews>
  <sheetFormatPr defaultRowHeight="15"/>
  <cols>
    <col min="1" max="1" width="5.85546875" style="145" customWidth="1"/>
    <col min="2" max="2" width="16.7109375" style="145" customWidth="1"/>
    <col min="3" max="3" width="3.5703125" style="145" customWidth="1"/>
    <col min="4" max="4" width="14.7109375" style="145" customWidth="1"/>
    <col min="5" max="5" width="16.140625" style="145" customWidth="1"/>
    <col min="6" max="6" width="10.28515625" style="172" customWidth="1"/>
    <col min="7" max="7" width="11.85546875" style="145" bestFit="1" customWidth="1"/>
    <col min="8" max="8" width="11.42578125" style="145" customWidth="1"/>
    <col min="9" max="9" width="13.7109375" style="145" customWidth="1"/>
    <col min="10" max="10" width="9.140625" style="145"/>
    <col min="11" max="11" width="10.5703125" style="145" bestFit="1" customWidth="1"/>
    <col min="12" max="16384" width="9.140625" style="145"/>
  </cols>
  <sheetData>
    <row r="1" spans="1:9" ht="27.75">
      <c r="A1" s="140" t="s">
        <v>23</v>
      </c>
      <c r="B1" s="141"/>
      <c r="C1" s="141"/>
      <c r="D1" s="141"/>
      <c r="E1" s="141"/>
      <c r="F1" s="142"/>
      <c r="G1" s="143"/>
      <c r="H1" s="143"/>
      <c r="I1" s="144"/>
    </row>
    <row r="2" spans="1:9" ht="23.25">
      <c r="A2" s="140" t="s">
        <v>408</v>
      </c>
      <c r="B2" s="146"/>
      <c r="C2" s="146"/>
      <c r="D2" s="146"/>
      <c r="E2" s="146"/>
      <c r="F2" s="147"/>
      <c r="G2" s="148"/>
      <c r="H2" s="148"/>
      <c r="I2" s="149"/>
    </row>
    <row r="3" spans="1:9" ht="23.25">
      <c r="A3" s="140" t="s">
        <v>196</v>
      </c>
      <c r="B3" s="146"/>
      <c r="C3" s="146"/>
      <c r="D3" s="146"/>
      <c r="E3" s="150"/>
      <c r="F3" s="147"/>
      <c r="G3" s="148"/>
      <c r="H3" s="148"/>
      <c r="I3" s="149"/>
    </row>
    <row r="4" spans="1:9">
      <c r="A4" s="151"/>
      <c r="B4" s="148"/>
      <c r="C4" s="148"/>
      <c r="D4" s="148"/>
      <c r="E4" s="148"/>
      <c r="F4" s="147"/>
      <c r="G4" s="148"/>
      <c r="H4" s="148"/>
      <c r="I4" s="149"/>
    </row>
    <row r="5" spans="1:9">
      <c r="A5" s="151"/>
      <c r="B5" s="148"/>
      <c r="C5" s="148"/>
      <c r="D5" s="148"/>
      <c r="E5" s="148"/>
      <c r="F5" s="147"/>
      <c r="G5" s="148"/>
      <c r="H5" s="148"/>
      <c r="I5" s="149"/>
    </row>
    <row r="6" spans="1:9">
      <c r="A6" s="151"/>
      <c r="B6" s="148"/>
      <c r="C6" s="148"/>
      <c r="D6" s="148"/>
      <c r="E6" s="148"/>
      <c r="F6" s="147"/>
      <c r="G6" s="148"/>
      <c r="H6" s="148"/>
      <c r="I6" s="149"/>
    </row>
    <row r="7" spans="1:9">
      <c r="A7" s="151"/>
      <c r="B7" s="148"/>
      <c r="C7" s="148"/>
      <c r="D7" s="148"/>
      <c r="E7" s="148"/>
      <c r="F7" s="147"/>
      <c r="G7" s="152" t="s">
        <v>142</v>
      </c>
      <c r="H7" s="23" t="s">
        <v>46</v>
      </c>
      <c r="I7" s="153" t="s">
        <v>46</v>
      </c>
    </row>
    <row r="8" spans="1:9">
      <c r="A8" s="151">
        <v>1</v>
      </c>
      <c r="B8" s="154" t="s">
        <v>215</v>
      </c>
      <c r="C8" s="148"/>
      <c r="D8" s="148"/>
      <c r="E8" s="148"/>
      <c r="F8" s="147"/>
      <c r="G8" s="147"/>
      <c r="H8" s="148"/>
      <c r="I8" s="149"/>
    </row>
    <row r="9" spans="1:9">
      <c r="A9" s="151"/>
      <c r="B9" s="148" t="s">
        <v>409</v>
      </c>
      <c r="C9" s="148"/>
      <c r="D9" s="148"/>
      <c r="E9" s="148"/>
      <c r="F9" s="147"/>
      <c r="G9" s="147"/>
      <c r="H9" s="148"/>
      <c r="I9" s="149">
        <v>75348115</v>
      </c>
    </row>
    <row r="10" spans="1:9">
      <c r="A10" s="151"/>
      <c r="B10" s="148" t="s">
        <v>217</v>
      </c>
      <c r="C10" s="148"/>
      <c r="D10" s="148"/>
      <c r="E10" s="148"/>
      <c r="F10" s="147"/>
      <c r="G10" s="147"/>
      <c r="H10" s="148"/>
      <c r="I10" s="155">
        <v>0</v>
      </c>
    </row>
    <row r="11" spans="1:9" ht="11.25" customHeight="1">
      <c r="A11" s="151"/>
      <c r="B11" s="148"/>
      <c r="C11" s="148"/>
      <c r="D11" s="148"/>
      <c r="E11" s="148"/>
      <c r="F11" s="147"/>
      <c r="G11" s="147"/>
      <c r="H11" s="148"/>
      <c r="I11" s="149"/>
    </row>
    <row r="12" spans="1:9">
      <c r="A12" s="151"/>
      <c r="B12" s="148" t="s">
        <v>410</v>
      </c>
      <c r="C12" s="148"/>
      <c r="D12" s="148"/>
      <c r="E12" s="148"/>
      <c r="F12" s="147"/>
      <c r="G12" s="156"/>
      <c r="H12" s="148"/>
      <c r="I12" s="149">
        <f>SUM(I9:I10)</f>
        <v>75348115</v>
      </c>
    </row>
    <row r="13" spans="1:9">
      <c r="A13" s="151"/>
      <c r="B13" s="148"/>
      <c r="C13" s="148"/>
      <c r="D13" s="148"/>
      <c r="E13" s="148"/>
      <c r="F13" s="147"/>
      <c r="G13" s="156"/>
      <c r="H13" s="148"/>
      <c r="I13" s="149"/>
    </row>
    <row r="14" spans="1:9">
      <c r="A14" s="151"/>
      <c r="B14" s="148"/>
      <c r="C14" s="148"/>
      <c r="D14" s="148"/>
      <c r="E14" s="148"/>
      <c r="F14" s="147"/>
      <c r="G14" s="156"/>
      <c r="H14" s="148"/>
      <c r="I14" s="149"/>
    </row>
    <row r="15" spans="1:9">
      <c r="A15" s="151"/>
      <c r="B15" s="148" t="s">
        <v>218</v>
      </c>
      <c r="C15" s="148"/>
      <c r="D15" s="148"/>
      <c r="E15" s="148"/>
      <c r="F15" s="147"/>
      <c r="G15" s="156"/>
      <c r="H15" s="148"/>
      <c r="I15" s="149"/>
    </row>
    <row r="16" spans="1:9">
      <c r="A16" s="151"/>
      <c r="B16" s="148" t="s">
        <v>411</v>
      </c>
      <c r="C16" s="148"/>
      <c r="D16" s="148"/>
      <c r="E16" s="148"/>
      <c r="F16" s="147"/>
      <c r="G16" s="156">
        <v>15</v>
      </c>
      <c r="H16" s="148">
        <v>0</v>
      </c>
      <c r="I16" s="149"/>
    </row>
    <row r="17" spans="1:9">
      <c r="A17" s="151"/>
      <c r="B17" s="148" t="s">
        <v>225</v>
      </c>
      <c r="C17" s="148"/>
      <c r="D17" s="148"/>
      <c r="E17" s="148"/>
      <c r="F17" s="147"/>
      <c r="G17" s="157">
        <v>10</v>
      </c>
      <c r="H17" s="158">
        <v>10325017</v>
      </c>
      <c r="I17" s="159">
        <f>-(H16+H17)</f>
        <v>-10325017</v>
      </c>
    </row>
    <row r="18" spans="1:9">
      <c r="A18" s="151"/>
      <c r="B18" s="148"/>
      <c r="C18" s="148"/>
      <c r="D18" s="148"/>
      <c r="E18" s="148"/>
      <c r="F18" s="147"/>
      <c r="G18" s="156"/>
      <c r="H18" s="148"/>
      <c r="I18" s="144"/>
    </row>
    <row r="19" spans="1:9" ht="15.75" thickBot="1">
      <c r="A19" s="151"/>
      <c r="B19" s="148" t="s">
        <v>216</v>
      </c>
      <c r="C19" s="148"/>
      <c r="D19" s="148"/>
      <c r="E19" s="148"/>
      <c r="F19" s="147"/>
      <c r="G19" s="156"/>
      <c r="H19" s="148"/>
      <c r="I19" s="160">
        <f>I12+I17</f>
        <v>65023098</v>
      </c>
    </row>
    <row r="20" spans="1:9" ht="15.75" thickTop="1">
      <c r="A20" s="151"/>
      <c r="B20" s="148"/>
      <c r="C20" s="148"/>
      <c r="D20" s="148"/>
      <c r="E20" s="148"/>
      <c r="F20" s="147"/>
      <c r="G20" s="156"/>
      <c r="H20" s="148"/>
      <c r="I20" s="149"/>
    </row>
    <row r="21" spans="1:9">
      <c r="A21" s="151"/>
      <c r="B21" s="148"/>
      <c r="C21" s="148"/>
      <c r="D21" s="148"/>
      <c r="E21" s="148"/>
      <c r="F21" s="147"/>
      <c r="G21" s="156"/>
      <c r="H21" s="148"/>
      <c r="I21" s="149"/>
    </row>
    <row r="22" spans="1:9" ht="17.25" customHeight="1">
      <c r="A22" s="151"/>
      <c r="B22" s="161" t="s">
        <v>221</v>
      </c>
      <c r="C22" s="148"/>
      <c r="D22" s="148"/>
      <c r="E22" s="148"/>
      <c r="F22" s="147"/>
      <c r="G22" s="156"/>
      <c r="H22" s="148"/>
      <c r="I22" s="149"/>
    </row>
    <row r="23" spans="1:9">
      <c r="A23" s="151"/>
      <c r="B23" s="148" t="s">
        <v>412</v>
      </c>
      <c r="C23" s="148"/>
      <c r="D23" s="148"/>
      <c r="E23" s="148"/>
      <c r="F23" s="147"/>
      <c r="G23" s="156"/>
      <c r="H23" s="148"/>
      <c r="I23" s="149">
        <v>2087510</v>
      </c>
    </row>
    <row r="24" spans="1:9">
      <c r="A24" s="151"/>
      <c r="B24" s="148" t="s">
        <v>217</v>
      </c>
      <c r="C24" s="148"/>
      <c r="D24" s="148"/>
      <c r="E24" s="148"/>
      <c r="F24" s="147"/>
      <c r="G24" s="156"/>
      <c r="H24" s="148"/>
      <c r="I24" s="155">
        <v>0</v>
      </c>
    </row>
    <row r="25" spans="1:9" ht="8.25" customHeight="1">
      <c r="A25" s="151"/>
      <c r="B25" s="148"/>
      <c r="C25" s="148"/>
      <c r="D25" s="148"/>
      <c r="E25" s="148"/>
      <c r="F25" s="147"/>
      <c r="G25" s="156"/>
      <c r="H25" s="148"/>
      <c r="I25" s="149"/>
    </row>
    <row r="26" spans="1:9">
      <c r="A26" s="151"/>
      <c r="B26" s="148" t="s">
        <v>410</v>
      </c>
      <c r="C26" s="148"/>
      <c r="D26" s="148"/>
      <c r="E26" s="148"/>
      <c r="F26" s="147"/>
      <c r="G26" s="156"/>
      <c r="H26" s="148"/>
      <c r="I26" s="149">
        <f>SUM(I23:I25)</f>
        <v>2087510</v>
      </c>
    </row>
    <row r="27" spans="1:9">
      <c r="A27" s="151"/>
      <c r="B27" s="148"/>
      <c r="C27" s="148"/>
      <c r="D27" s="148"/>
      <c r="E27" s="148"/>
      <c r="F27" s="147"/>
      <c r="G27" s="156"/>
      <c r="H27" s="148"/>
      <c r="I27" s="149"/>
    </row>
    <row r="28" spans="1:9">
      <c r="A28" s="151"/>
      <c r="B28" s="148" t="s">
        <v>218</v>
      </c>
      <c r="C28" s="148"/>
      <c r="D28" s="148"/>
      <c r="E28" s="148"/>
      <c r="F28" s="147"/>
      <c r="G28" s="156"/>
      <c r="H28" s="148"/>
      <c r="I28" s="149"/>
    </row>
    <row r="29" spans="1:9">
      <c r="A29" s="151"/>
      <c r="B29" s="148" t="s">
        <v>411</v>
      </c>
      <c r="C29" s="148"/>
      <c r="D29" s="148"/>
      <c r="E29" s="148"/>
      <c r="F29" s="147"/>
      <c r="G29" s="156">
        <v>50</v>
      </c>
      <c r="H29" s="148">
        <v>0</v>
      </c>
      <c r="I29" s="149"/>
    </row>
    <row r="30" spans="1:9">
      <c r="A30" s="151"/>
      <c r="B30" s="148" t="s">
        <v>225</v>
      </c>
      <c r="C30" s="148"/>
      <c r="D30" s="148"/>
      <c r="E30" s="148"/>
      <c r="F30" s="147"/>
      <c r="G30" s="156">
        <v>25</v>
      </c>
      <c r="H30" s="148">
        <v>1043750</v>
      </c>
      <c r="I30" s="149">
        <f>-(H29+H30)</f>
        <v>-1043750</v>
      </c>
    </row>
    <row r="31" spans="1:9">
      <c r="A31" s="151"/>
      <c r="B31" s="148"/>
      <c r="C31" s="148"/>
      <c r="D31" s="148"/>
      <c r="E31" s="148"/>
      <c r="F31" s="147"/>
      <c r="G31" s="156"/>
      <c r="H31" s="148"/>
      <c r="I31" s="144"/>
    </row>
    <row r="32" spans="1:9" ht="15.75" thickBot="1">
      <c r="A32" s="151"/>
      <c r="B32" s="148" t="s">
        <v>216</v>
      </c>
      <c r="C32" s="148"/>
      <c r="D32" s="148"/>
      <c r="E32" s="148"/>
      <c r="F32" s="147"/>
      <c r="G32" s="156"/>
      <c r="H32" s="148"/>
      <c r="I32" s="160">
        <f>I26+I29+I30</f>
        <v>1043760</v>
      </c>
    </row>
    <row r="33" spans="1:9" ht="15.75" thickTop="1">
      <c r="A33" s="151"/>
      <c r="B33" s="148"/>
      <c r="C33" s="148"/>
      <c r="D33" s="148"/>
      <c r="E33" s="148"/>
      <c r="F33" s="147"/>
      <c r="G33" s="156"/>
      <c r="H33" s="148"/>
      <c r="I33" s="149"/>
    </row>
    <row r="34" spans="1:9">
      <c r="A34" s="151"/>
      <c r="B34" s="148"/>
      <c r="C34" s="148"/>
      <c r="D34" s="148"/>
      <c r="E34" s="148"/>
      <c r="F34" s="147"/>
      <c r="G34" s="156"/>
      <c r="H34" s="148"/>
      <c r="I34" s="149"/>
    </row>
    <row r="35" spans="1:9" ht="17.25">
      <c r="A35" s="151"/>
      <c r="B35" s="162" t="s">
        <v>222</v>
      </c>
      <c r="C35" s="163"/>
      <c r="D35" s="163"/>
      <c r="E35" s="148"/>
      <c r="F35" s="147"/>
      <c r="G35" s="156"/>
      <c r="H35" s="148"/>
      <c r="I35" s="149"/>
    </row>
    <row r="36" spans="1:9">
      <c r="A36" s="151"/>
      <c r="B36" s="148" t="s">
        <v>412</v>
      </c>
      <c r="C36" s="148"/>
      <c r="D36" s="148"/>
      <c r="E36" s="148"/>
      <c r="F36" s="147"/>
      <c r="G36" s="156"/>
      <c r="H36" s="148"/>
      <c r="I36" s="149">
        <v>10</v>
      </c>
    </row>
    <row r="37" spans="1:9">
      <c r="A37" s="151"/>
      <c r="B37" s="148" t="s">
        <v>217</v>
      </c>
      <c r="C37" s="148"/>
      <c r="D37" s="148"/>
      <c r="E37" s="148"/>
      <c r="F37" s="147"/>
      <c r="G37" s="156"/>
      <c r="H37" s="148"/>
      <c r="I37" s="155">
        <v>3116100.32</v>
      </c>
    </row>
    <row r="38" spans="1:9" ht="9.75" customHeight="1">
      <c r="A38" s="151"/>
      <c r="B38" s="148"/>
      <c r="C38" s="148"/>
      <c r="D38" s="148"/>
      <c r="E38" s="148"/>
      <c r="F38" s="147"/>
      <c r="G38" s="156"/>
      <c r="H38" s="148"/>
      <c r="I38" s="149"/>
    </row>
    <row r="39" spans="1:9">
      <c r="A39" s="151"/>
      <c r="B39" s="148" t="s">
        <v>410</v>
      </c>
      <c r="C39" s="148"/>
      <c r="D39" s="148"/>
      <c r="E39" s="148"/>
      <c r="F39" s="147"/>
      <c r="G39" s="156"/>
      <c r="H39" s="148"/>
      <c r="I39" s="149">
        <f>SUM(I36:I38)</f>
        <v>3116110.32</v>
      </c>
    </row>
    <row r="40" spans="1:9">
      <c r="A40" s="151"/>
      <c r="B40" s="148"/>
      <c r="C40" s="148"/>
      <c r="D40" s="148"/>
      <c r="E40" s="148"/>
      <c r="F40" s="147"/>
      <c r="G40" s="156"/>
      <c r="H40" s="148"/>
      <c r="I40" s="149"/>
    </row>
    <row r="41" spans="1:9">
      <c r="A41" s="151"/>
      <c r="B41" s="148" t="s">
        <v>218</v>
      </c>
      <c r="C41" s="148"/>
      <c r="D41" s="148"/>
      <c r="E41" s="148"/>
      <c r="F41" s="147"/>
      <c r="G41" s="156"/>
      <c r="H41" s="148"/>
      <c r="I41" s="149"/>
    </row>
    <row r="42" spans="1:9">
      <c r="A42" s="151"/>
      <c r="B42" s="148" t="s">
        <v>411</v>
      </c>
      <c r="C42" s="148"/>
      <c r="D42" s="148"/>
      <c r="E42" s="148"/>
      <c r="F42" s="147"/>
      <c r="G42" s="156">
        <v>25</v>
      </c>
      <c r="H42" s="148">
        <v>779025</v>
      </c>
      <c r="I42" s="149"/>
    </row>
    <row r="43" spans="1:9">
      <c r="A43" s="151"/>
      <c r="B43" s="148" t="s">
        <v>223</v>
      </c>
      <c r="C43" s="148"/>
      <c r="D43" s="148"/>
      <c r="E43" s="148"/>
      <c r="F43" s="147"/>
      <c r="G43" s="156">
        <v>20</v>
      </c>
      <c r="H43" s="148">
        <v>0</v>
      </c>
      <c r="I43" s="149"/>
    </row>
    <row r="44" spans="1:9">
      <c r="A44" s="151"/>
      <c r="B44" s="148" t="s">
        <v>413</v>
      </c>
      <c r="C44" s="148"/>
      <c r="D44" s="148"/>
      <c r="E44" s="148"/>
      <c r="F44" s="147"/>
      <c r="G44" s="156">
        <v>20</v>
      </c>
      <c r="H44" s="158">
        <v>467417</v>
      </c>
      <c r="I44" s="159">
        <f>-(H42+H43+H44)</f>
        <v>-1246442</v>
      </c>
    </row>
    <row r="45" spans="1:9" ht="15" customHeight="1" thickBot="1">
      <c r="A45" s="151"/>
      <c r="B45" s="148" t="s">
        <v>216</v>
      </c>
      <c r="C45" s="148"/>
      <c r="D45" s="148"/>
      <c r="E45" s="148"/>
      <c r="F45" s="147"/>
      <c r="G45" s="147"/>
      <c r="H45" s="148"/>
      <c r="I45" s="160">
        <f>I39+I44</f>
        <v>1869668.3199999998</v>
      </c>
    </row>
    <row r="46" spans="1:9" ht="15" customHeight="1" thickTop="1">
      <c r="A46" s="151"/>
      <c r="B46" s="148"/>
      <c r="C46" s="148"/>
      <c r="D46" s="148"/>
      <c r="E46" s="148"/>
      <c r="F46" s="147"/>
      <c r="G46" s="147"/>
      <c r="H46" s="148"/>
      <c r="I46" s="149"/>
    </row>
    <row r="47" spans="1:9" ht="15" customHeight="1">
      <c r="A47" s="151"/>
      <c r="B47" s="148"/>
      <c r="C47" s="148"/>
      <c r="D47" s="148"/>
      <c r="E47" s="148"/>
      <c r="F47" s="147"/>
      <c r="G47" s="147"/>
      <c r="H47" s="148"/>
      <c r="I47" s="149"/>
    </row>
    <row r="48" spans="1:9">
      <c r="A48" s="151"/>
      <c r="B48" s="162" t="s">
        <v>224</v>
      </c>
      <c r="C48" s="148"/>
      <c r="D48" s="148"/>
      <c r="E48" s="148"/>
      <c r="F48" s="147"/>
      <c r="G48" s="147"/>
      <c r="H48" s="148"/>
      <c r="I48" s="149"/>
    </row>
    <row r="49" spans="1:9">
      <c r="A49" s="151"/>
      <c r="B49" s="148" t="s">
        <v>412</v>
      </c>
      <c r="C49" s="148"/>
      <c r="D49" s="148"/>
      <c r="E49" s="148"/>
      <c r="F49" s="147"/>
      <c r="G49" s="147"/>
      <c r="H49" s="148"/>
      <c r="I49" s="149">
        <v>1175000</v>
      </c>
    </row>
    <row r="50" spans="1:9">
      <c r="A50" s="151"/>
      <c r="B50" s="148" t="s">
        <v>217</v>
      </c>
      <c r="C50" s="148"/>
      <c r="D50" s="148"/>
      <c r="E50" s="148"/>
      <c r="F50" s="147"/>
      <c r="G50" s="147"/>
      <c r="H50" s="148"/>
      <c r="I50" s="155">
        <v>0</v>
      </c>
    </row>
    <row r="51" spans="1:9">
      <c r="A51" s="151"/>
      <c r="B51" s="148" t="s">
        <v>410</v>
      </c>
      <c r="C51" s="148"/>
      <c r="D51" s="148"/>
      <c r="E51" s="148"/>
      <c r="F51" s="147"/>
      <c r="G51" s="147"/>
      <c r="H51" s="148"/>
      <c r="I51" s="149">
        <f>SUM(I49:I50)</f>
        <v>1175000</v>
      </c>
    </row>
    <row r="52" spans="1:9">
      <c r="A52" s="151"/>
      <c r="B52" s="148"/>
      <c r="C52" s="148"/>
      <c r="D52" s="148"/>
      <c r="E52" s="148"/>
      <c r="F52" s="147"/>
      <c r="G52" s="147"/>
      <c r="H52" s="148"/>
      <c r="I52" s="149"/>
    </row>
    <row r="53" spans="1:9">
      <c r="A53" s="151"/>
      <c r="B53" s="148" t="s">
        <v>218</v>
      </c>
      <c r="C53" s="148"/>
      <c r="D53" s="148"/>
      <c r="E53" s="148"/>
      <c r="F53" s="147"/>
      <c r="G53" s="147"/>
      <c r="H53" s="148"/>
      <c r="I53" s="149"/>
    </row>
    <row r="54" spans="1:9">
      <c r="A54" s="151"/>
      <c r="B54" s="148" t="s">
        <v>411</v>
      </c>
      <c r="C54" s="148"/>
      <c r="D54" s="148"/>
      <c r="E54" s="148"/>
      <c r="F54" s="147"/>
      <c r="G54" s="147">
        <v>50</v>
      </c>
      <c r="H54" s="148">
        <v>0</v>
      </c>
      <c r="I54" s="149"/>
    </row>
    <row r="55" spans="1:9">
      <c r="A55" s="151"/>
      <c r="B55" s="148" t="s">
        <v>225</v>
      </c>
      <c r="C55" s="148"/>
      <c r="D55" s="148"/>
      <c r="E55" s="148"/>
      <c r="F55" s="147"/>
      <c r="G55" s="147">
        <v>25</v>
      </c>
      <c r="H55" s="158">
        <v>587500</v>
      </c>
      <c r="I55" s="159">
        <f>-(H54+H55)</f>
        <v>-587500</v>
      </c>
    </row>
    <row r="56" spans="1:9" ht="11.25" customHeight="1">
      <c r="A56" s="151"/>
      <c r="B56" s="148"/>
      <c r="C56" s="148"/>
      <c r="D56" s="148"/>
      <c r="E56" s="148"/>
      <c r="F56" s="147"/>
      <c r="G56" s="147"/>
      <c r="H56" s="148"/>
      <c r="I56" s="149"/>
    </row>
    <row r="57" spans="1:9" ht="15.75" thickBot="1">
      <c r="A57" s="151"/>
      <c r="B57" s="148" t="s">
        <v>216</v>
      </c>
      <c r="C57" s="148"/>
      <c r="D57" s="148"/>
      <c r="E57" s="148"/>
      <c r="F57" s="147"/>
      <c r="G57" s="147"/>
      <c r="H57" s="148"/>
      <c r="I57" s="164">
        <f>I51+I55</f>
        <v>587500</v>
      </c>
    </row>
    <row r="58" spans="1:9" ht="15.75" thickTop="1">
      <c r="A58" s="151"/>
      <c r="B58" s="148"/>
      <c r="C58" s="148"/>
      <c r="D58" s="148"/>
      <c r="E58" s="148"/>
      <c r="F58" s="147"/>
      <c r="G58" s="147"/>
      <c r="H58" s="148"/>
      <c r="I58" s="149"/>
    </row>
    <row r="59" spans="1:9">
      <c r="A59" s="151"/>
      <c r="B59" s="154" t="s">
        <v>226</v>
      </c>
      <c r="C59" s="148"/>
      <c r="D59" s="148"/>
      <c r="E59" s="148"/>
      <c r="F59" s="165" t="s">
        <v>219</v>
      </c>
      <c r="G59" s="165" t="s">
        <v>220</v>
      </c>
      <c r="H59" s="165" t="s">
        <v>80</v>
      </c>
      <c r="I59" s="166" t="s">
        <v>409</v>
      </c>
    </row>
    <row r="60" spans="1:9">
      <c r="A60" s="151"/>
      <c r="B60" s="148"/>
      <c r="C60" s="148"/>
      <c r="D60" s="148"/>
      <c r="E60" s="148"/>
      <c r="F60" s="165" t="s">
        <v>46</v>
      </c>
      <c r="G60" s="165" t="s">
        <v>46</v>
      </c>
      <c r="H60" s="165" t="s">
        <v>46</v>
      </c>
      <c r="I60" s="166" t="s">
        <v>46</v>
      </c>
    </row>
    <row r="61" spans="1:9">
      <c r="A61" s="151"/>
      <c r="B61" s="148" t="s">
        <v>227</v>
      </c>
      <c r="C61" s="148"/>
      <c r="D61" s="148"/>
      <c r="E61" s="148"/>
      <c r="F61" s="148">
        <v>0</v>
      </c>
      <c r="G61" s="147">
        <f>H17</f>
        <v>10325017</v>
      </c>
      <c r="H61" s="148">
        <f>F61+G61</f>
        <v>10325017</v>
      </c>
      <c r="I61" s="149">
        <f>I19</f>
        <v>65023098</v>
      </c>
    </row>
    <row r="62" spans="1:9">
      <c r="A62" s="151"/>
      <c r="B62" s="148" t="s">
        <v>345</v>
      </c>
      <c r="C62" s="148"/>
      <c r="D62" s="148"/>
      <c r="E62" s="148"/>
      <c r="F62" s="148"/>
      <c r="G62" s="147">
        <f>H30</f>
        <v>1043750</v>
      </c>
      <c r="H62" s="148">
        <f>F62+G62</f>
        <v>1043750</v>
      </c>
      <c r="I62" s="149">
        <f>I32</f>
        <v>1043760</v>
      </c>
    </row>
    <row r="63" spans="1:9">
      <c r="A63" s="151"/>
      <c r="B63" s="148" t="s">
        <v>414</v>
      </c>
      <c r="C63" s="148"/>
      <c r="D63" s="148"/>
      <c r="E63" s="148"/>
      <c r="F63" s="148">
        <f>H42</f>
        <v>779025</v>
      </c>
      <c r="G63" s="147">
        <f>H43+H44</f>
        <v>467417</v>
      </c>
      <c r="H63" s="148">
        <f>F63+G63</f>
        <v>1246442</v>
      </c>
      <c r="I63" s="149">
        <f>I45</f>
        <v>1869668.3199999998</v>
      </c>
    </row>
    <row r="64" spans="1:9">
      <c r="A64" s="151"/>
      <c r="B64" s="148" t="s">
        <v>346</v>
      </c>
      <c r="C64" s="148"/>
      <c r="D64" s="148"/>
      <c r="E64" s="148"/>
      <c r="F64" s="148">
        <f>H54</f>
        <v>0</v>
      </c>
      <c r="G64" s="147">
        <f>H55</f>
        <v>587500</v>
      </c>
      <c r="H64" s="148">
        <f>F64+G64</f>
        <v>587500</v>
      </c>
      <c r="I64" s="149">
        <f>I57</f>
        <v>587500</v>
      </c>
    </row>
    <row r="65" spans="1:9" ht="9.75" customHeight="1">
      <c r="A65" s="151"/>
      <c r="B65" s="148"/>
      <c r="C65" s="148"/>
      <c r="D65" s="148"/>
      <c r="E65" s="148"/>
      <c r="F65" s="167"/>
      <c r="G65" s="168"/>
      <c r="H65" s="168"/>
      <c r="I65" s="144"/>
    </row>
    <row r="66" spans="1:9" ht="15.75" thickBot="1">
      <c r="A66" s="169"/>
      <c r="B66" s="158"/>
      <c r="C66" s="158"/>
      <c r="D66" s="158"/>
      <c r="E66" s="158"/>
      <c r="F66" s="170">
        <f>SUM(F61:F65)</f>
        <v>779025</v>
      </c>
      <c r="G66" s="171">
        <f>SUM(G61:G65)</f>
        <v>12423684</v>
      </c>
      <c r="H66" s="171">
        <f>SUM(H61:H65)</f>
        <v>13202709</v>
      </c>
      <c r="I66" s="160">
        <f>SUM(I61:I65)</f>
        <v>68524026.319999993</v>
      </c>
    </row>
    <row r="67" spans="1:9" ht="15.75" thickTop="1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L213"/>
  <sheetViews>
    <sheetView topLeftCell="A19" workbookViewId="0">
      <selection activeCell="B36" sqref="B36:E36"/>
    </sheetView>
  </sheetViews>
  <sheetFormatPr defaultRowHeight="15"/>
  <cols>
    <col min="2" max="2" width="14.85546875" customWidth="1"/>
    <col min="3" max="3" width="15.42578125" customWidth="1"/>
    <col min="4" max="4" width="15" customWidth="1"/>
    <col min="5" max="5" width="14.85546875" customWidth="1"/>
    <col min="7" max="7" width="14.28515625" style="9" bestFit="1" customWidth="1"/>
    <col min="8" max="8" width="15.140625" style="9" customWidth="1"/>
    <col min="9" max="9" width="15.42578125" style="9" customWidth="1"/>
    <col min="10" max="10" width="15.7109375" style="9" customWidth="1"/>
    <col min="11" max="11" width="15" style="9" customWidth="1"/>
    <col min="12" max="12" width="14.28515625" style="9" bestFit="1" customWidth="1"/>
    <col min="13" max="18" width="14.28515625" bestFit="1" customWidth="1"/>
    <col min="20" max="20" width="11.5703125" bestFit="1" customWidth="1"/>
    <col min="21" max="26" width="14.28515625" bestFit="1" customWidth="1"/>
    <col min="28" max="28" width="13.28515625" bestFit="1" customWidth="1"/>
    <col min="29" max="29" width="14.28515625" bestFit="1" customWidth="1"/>
    <col min="30" max="38" width="13.28515625" bestFit="1" customWidth="1"/>
  </cols>
  <sheetData>
    <row r="1" spans="1:38">
      <c r="A1" t="s">
        <v>431</v>
      </c>
      <c r="G1" s="9" t="s">
        <v>432</v>
      </c>
      <c r="H1" s="9" t="s">
        <v>433</v>
      </c>
      <c r="I1" s="9" t="s">
        <v>434</v>
      </c>
      <c r="J1" s="9" t="s">
        <v>435</v>
      </c>
      <c r="K1" s="9" t="s">
        <v>436</v>
      </c>
      <c r="L1" s="9" t="s">
        <v>437</v>
      </c>
      <c r="M1" s="9" t="s">
        <v>438</v>
      </c>
      <c r="N1" s="9" t="s">
        <v>439</v>
      </c>
      <c r="O1" s="9" t="s">
        <v>440</v>
      </c>
      <c r="P1" s="9" t="s">
        <v>441</v>
      </c>
      <c r="Q1" s="9" t="s">
        <v>442</v>
      </c>
      <c r="R1" s="9" t="s">
        <v>443</v>
      </c>
      <c r="S1" s="9" t="s">
        <v>427</v>
      </c>
      <c r="T1" s="9" t="s">
        <v>437</v>
      </c>
      <c r="U1" s="9" t="s">
        <v>438</v>
      </c>
      <c r="V1" s="9" t="s">
        <v>439</v>
      </c>
      <c r="W1" s="9" t="s">
        <v>440</v>
      </c>
      <c r="X1" s="9" t="s">
        <v>441</v>
      </c>
      <c r="Y1" s="9" t="s">
        <v>442</v>
      </c>
      <c r="Z1" s="9" t="s">
        <v>443</v>
      </c>
      <c r="AA1" s="9" t="s">
        <v>444</v>
      </c>
      <c r="AB1" s="9" t="s">
        <v>424</v>
      </c>
      <c r="AC1" s="9" t="s">
        <v>445</v>
      </c>
      <c r="AD1" s="9" t="s">
        <v>446</v>
      </c>
      <c r="AE1" s="9" t="s">
        <v>436</v>
      </c>
      <c r="AF1" s="9" t="s">
        <v>437</v>
      </c>
      <c r="AG1" s="9" t="s">
        <v>438</v>
      </c>
      <c r="AH1" s="9" t="s">
        <v>439</v>
      </c>
      <c r="AI1" s="9" t="s">
        <v>440</v>
      </c>
      <c r="AJ1" s="9" t="s">
        <v>441</v>
      </c>
      <c r="AK1" s="9" t="s">
        <v>442</v>
      </c>
      <c r="AL1" s="9" t="s">
        <v>443</v>
      </c>
    </row>
    <row r="2" spans="1:38">
      <c r="F2" t="s">
        <v>448</v>
      </c>
      <c r="G2" s="9">
        <v>259298.74</v>
      </c>
      <c r="H2" s="9">
        <v>75000</v>
      </c>
      <c r="I2" s="9">
        <v>60000</v>
      </c>
      <c r="J2" s="9">
        <v>780580.95</v>
      </c>
      <c r="K2" s="9">
        <v>619792.52</v>
      </c>
      <c r="L2" s="9">
        <v>1006224.99</v>
      </c>
      <c r="M2" s="9">
        <v>66063.75</v>
      </c>
      <c r="N2" s="9">
        <v>12393.13</v>
      </c>
      <c r="O2" s="9">
        <v>278978.63</v>
      </c>
      <c r="P2" s="9">
        <v>160570.46</v>
      </c>
      <c r="Q2" s="9">
        <v>722194.61</v>
      </c>
      <c r="R2" s="9">
        <v>1187284.08</v>
      </c>
      <c r="T2" s="9">
        <v>50000</v>
      </c>
      <c r="U2" s="9">
        <v>24920</v>
      </c>
      <c r="V2" s="9">
        <v>1339820</v>
      </c>
      <c r="W2" s="9">
        <v>310710.95</v>
      </c>
      <c r="X2" s="9">
        <v>422405</v>
      </c>
      <c r="Y2" s="9">
        <v>174014.5</v>
      </c>
      <c r="Z2" s="9">
        <v>340233</v>
      </c>
      <c r="AB2" s="9">
        <v>5000</v>
      </c>
      <c r="AC2" s="9">
        <v>250977.04</v>
      </c>
      <c r="AD2" s="9">
        <v>155807.76</v>
      </c>
      <c r="AE2" s="9">
        <v>23700</v>
      </c>
      <c r="AF2" s="9">
        <v>464936.26</v>
      </c>
      <c r="AG2" s="9">
        <v>36287.279999999999</v>
      </c>
      <c r="AH2" s="9">
        <v>6986</v>
      </c>
      <c r="AI2" s="9">
        <v>347639.5</v>
      </c>
      <c r="AJ2" s="9">
        <v>3495.53</v>
      </c>
      <c r="AK2" s="9">
        <v>124935.9</v>
      </c>
      <c r="AL2" s="9">
        <v>151792.95000000001</v>
      </c>
    </row>
    <row r="3" spans="1:38">
      <c r="A3" s="70" t="s">
        <v>430</v>
      </c>
      <c r="B3" s="70" t="s">
        <v>429</v>
      </c>
      <c r="C3" s="70" t="s">
        <v>428</v>
      </c>
      <c r="D3" s="70" t="s">
        <v>427</v>
      </c>
      <c r="E3" s="70" t="s">
        <v>426</v>
      </c>
      <c r="F3" s="175"/>
      <c r="G3" s="41">
        <v>923580.13</v>
      </c>
      <c r="H3" s="9">
        <v>55000</v>
      </c>
      <c r="I3" s="9">
        <v>50000</v>
      </c>
      <c r="J3" s="9">
        <v>5806.5</v>
      </c>
      <c r="K3" s="9">
        <v>647578.81000000006</v>
      </c>
      <c r="L3" s="9">
        <v>215168.35</v>
      </c>
      <c r="M3" s="9">
        <v>115560.22</v>
      </c>
      <c r="N3" s="9">
        <v>100772.4</v>
      </c>
      <c r="O3" s="9">
        <v>455051.85</v>
      </c>
      <c r="P3" s="9">
        <v>353831.13</v>
      </c>
      <c r="Q3" s="9">
        <v>621652.38</v>
      </c>
      <c r="R3" s="9">
        <v>416139.37</v>
      </c>
      <c r="T3" s="9">
        <v>1.98</v>
      </c>
      <c r="U3" s="9">
        <v>298260</v>
      </c>
      <c r="V3" s="9">
        <v>21900</v>
      </c>
      <c r="W3" s="9">
        <v>13450</v>
      </c>
      <c r="X3" s="9">
        <v>187865.95</v>
      </c>
      <c r="Y3" s="9">
        <v>122076.5</v>
      </c>
      <c r="Z3" s="9">
        <v>117760</v>
      </c>
      <c r="AB3" s="9">
        <v>99.8</v>
      </c>
      <c r="AC3" s="9">
        <v>2566.86</v>
      </c>
      <c r="AD3" s="9">
        <v>25149.599999999999</v>
      </c>
      <c r="AE3" s="9">
        <v>44698.2</v>
      </c>
      <c r="AF3" s="9">
        <v>217461.33</v>
      </c>
      <c r="AG3" s="9">
        <v>26040.38</v>
      </c>
      <c r="AH3" s="9">
        <v>62617.38</v>
      </c>
      <c r="AI3" s="9">
        <v>162659.03</v>
      </c>
      <c r="AJ3" s="9">
        <v>36636.25</v>
      </c>
      <c r="AK3" s="9">
        <v>192172.79999999999</v>
      </c>
      <c r="AL3" s="9">
        <v>29477.25</v>
      </c>
    </row>
    <row r="4" spans="1:38">
      <c r="A4" s="174" t="s">
        <v>425</v>
      </c>
      <c r="B4" s="131">
        <f>382794+222190</f>
        <v>604984</v>
      </c>
      <c r="C4" s="131">
        <f>G151</f>
        <v>33945246.529999986</v>
      </c>
      <c r="D4" s="131">
        <v>0</v>
      </c>
      <c r="E4" s="131">
        <v>0</v>
      </c>
      <c r="G4" s="9">
        <v>232465.4</v>
      </c>
      <c r="H4" s="9">
        <v>868512.31</v>
      </c>
      <c r="I4" s="9">
        <v>55000</v>
      </c>
      <c r="J4" s="9">
        <v>65000</v>
      </c>
      <c r="K4" s="9">
        <v>523658.08</v>
      </c>
      <c r="L4" s="9">
        <v>15405</v>
      </c>
      <c r="M4" s="9">
        <v>65000</v>
      </c>
      <c r="N4" s="9">
        <v>10546.5</v>
      </c>
      <c r="O4" s="9">
        <v>373086.39</v>
      </c>
      <c r="P4" s="9">
        <v>153105.95000000001</v>
      </c>
      <c r="Q4" s="9">
        <v>858151.23</v>
      </c>
      <c r="R4" s="9">
        <v>961281.91</v>
      </c>
      <c r="T4" s="9">
        <v>198.49</v>
      </c>
      <c r="U4" s="9">
        <v>77200</v>
      </c>
      <c r="V4" s="9">
        <v>197.5</v>
      </c>
      <c r="W4" s="9">
        <v>429223.88</v>
      </c>
      <c r="X4" s="9">
        <v>334160.5</v>
      </c>
      <c r="Y4" s="9">
        <v>7110</v>
      </c>
      <c r="Z4" s="9">
        <v>338819.65</v>
      </c>
      <c r="AB4" s="9">
        <v>98.75</v>
      </c>
      <c r="AC4" s="9">
        <v>165840.75</v>
      </c>
      <c r="AD4" s="9">
        <v>156945.48000000001</v>
      </c>
      <c r="AE4" s="9">
        <v>264310.32</v>
      </c>
      <c r="AF4" s="9">
        <v>29590.44</v>
      </c>
      <c r="AG4" s="9">
        <v>45987.839999999997</v>
      </c>
      <c r="AH4" s="9">
        <v>5865.75</v>
      </c>
      <c r="AI4" s="9">
        <v>48742.32</v>
      </c>
      <c r="AJ4" s="9">
        <v>25029.84</v>
      </c>
      <c r="AK4" s="9">
        <v>227593.3</v>
      </c>
      <c r="AL4" s="9">
        <v>52404</v>
      </c>
    </row>
    <row r="5" spans="1:38">
      <c r="A5" s="174" t="s">
        <v>424</v>
      </c>
      <c r="B5" s="131">
        <v>0</v>
      </c>
      <c r="C5" s="131">
        <f>H151</f>
        <v>30255253.999999996</v>
      </c>
      <c r="D5" s="131">
        <v>0</v>
      </c>
      <c r="E5" s="131">
        <v>3802536.28</v>
      </c>
      <c r="G5" s="9">
        <v>200000</v>
      </c>
      <c r="H5" s="9">
        <v>1653227.44</v>
      </c>
      <c r="I5" s="9">
        <v>50000</v>
      </c>
      <c r="J5" s="9">
        <v>60000</v>
      </c>
      <c r="K5" s="9">
        <v>652800</v>
      </c>
      <c r="L5" s="9">
        <v>799975</v>
      </c>
      <c r="M5" s="9">
        <v>60000</v>
      </c>
      <c r="N5" s="9">
        <v>110000</v>
      </c>
      <c r="O5" s="9">
        <v>336588.39</v>
      </c>
      <c r="P5" s="9">
        <v>127158.41</v>
      </c>
      <c r="Q5" s="9">
        <v>632238.31000000006</v>
      </c>
      <c r="R5" s="9">
        <v>420262.22</v>
      </c>
      <c r="T5" s="9">
        <v>107800.99</v>
      </c>
      <c r="U5" s="9">
        <v>191240</v>
      </c>
      <c r="V5" s="9">
        <v>297582</v>
      </c>
      <c r="W5" s="9">
        <v>395292.25</v>
      </c>
      <c r="X5" s="9">
        <v>45000</v>
      </c>
      <c r="Y5" s="9">
        <v>50000</v>
      </c>
      <c r="Z5" s="9">
        <v>339688.7</v>
      </c>
      <c r="AB5" s="9">
        <v>0.01</v>
      </c>
      <c r="AC5" s="9">
        <v>63871.5</v>
      </c>
      <c r="AD5" s="9">
        <v>7584</v>
      </c>
      <c r="AE5" s="9">
        <v>72734.240000000005</v>
      </c>
      <c r="AF5" s="9">
        <v>61293.99</v>
      </c>
      <c r="AG5" s="9">
        <v>5988</v>
      </c>
      <c r="AH5" s="9">
        <v>27724.44</v>
      </c>
      <c r="AI5" s="9">
        <v>25498.9</v>
      </c>
      <c r="AJ5" s="9">
        <v>21626.25</v>
      </c>
      <c r="AK5" s="9">
        <v>17567.25</v>
      </c>
      <c r="AL5" s="9">
        <v>10538.88</v>
      </c>
    </row>
    <row r="6" spans="1:38">
      <c r="A6" s="174" t="s">
        <v>400</v>
      </c>
      <c r="B6" s="131">
        <v>0</v>
      </c>
      <c r="C6" s="131">
        <f>I151</f>
        <v>19065186.350000001</v>
      </c>
      <c r="D6" s="131">
        <v>0</v>
      </c>
      <c r="E6" s="131">
        <v>11490083.48</v>
      </c>
      <c r="G6" s="9">
        <v>300000</v>
      </c>
      <c r="H6" s="9">
        <v>836926.01</v>
      </c>
      <c r="I6" s="9">
        <v>31461.75</v>
      </c>
      <c r="J6" s="9">
        <v>55000</v>
      </c>
      <c r="K6" s="9">
        <v>135120</v>
      </c>
      <c r="L6" s="9">
        <v>556438.48</v>
      </c>
      <c r="M6" s="9">
        <v>579668.32999999996</v>
      </c>
      <c r="N6" s="9">
        <v>55000</v>
      </c>
      <c r="O6" s="9">
        <v>273900.90000000002</v>
      </c>
      <c r="P6" s="9">
        <v>414635.45</v>
      </c>
      <c r="Q6" s="9">
        <v>8297.2999999999993</v>
      </c>
      <c r="R6" s="9">
        <v>50022</v>
      </c>
      <c r="T6" s="9">
        <v>32560</v>
      </c>
      <c r="U6" s="9">
        <v>250000</v>
      </c>
      <c r="V6" s="9">
        <v>176844</v>
      </c>
      <c r="W6" s="9">
        <v>26793.200000000001</v>
      </c>
      <c r="X6" s="9">
        <v>30000</v>
      </c>
      <c r="Y6" s="9">
        <v>60000</v>
      </c>
      <c r="Z6" s="9">
        <v>165729</v>
      </c>
      <c r="AB6" s="9">
        <v>0.01</v>
      </c>
      <c r="AC6" s="9">
        <v>254649.99</v>
      </c>
      <c r="AD6" s="9">
        <v>14284.19</v>
      </c>
      <c r="AE6" s="9">
        <v>305023.73</v>
      </c>
      <c r="AF6" s="9">
        <v>101529.77</v>
      </c>
      <c r="AG6" s="9">
        <v>5489</v>
      </c>
      <c r="AH6" s="9">
        <v>30454.5</v>
      </c>
      <c r="AI6" s="9">
        <v>22155.599999999999</v>
      </c>
      <c r="AJ6" s="9">
        <v>12455.04</v>
      </c>
      <c r="AK6" s="9">
        <v>47163.6</v>
      </c>
      <c r="AL6" s="9">
        <v>85329</v>
      </c>
    </row>
    <row r="7" spans="1:38">
      <c r="A7" s="174" t="s">
        <v>399</v>
      </c>
      <c r="B7" s="131">
        <v>642163</v>
      </c>
      <c r="C7" s="131">
        <f>J151</f>
        <v>41976533.830000006</v>
      </c>
      <c r="D7" s="131">
        <v>0</v>
      </c>
      <c r="E7" s="131">
        <v>4806746.8499999996</v>
      </c>
      <c r="G7" s="9">
        <v>543117.1</v>
      </c>
      <c r="H7" s="9">
        <v>1106559.04</v>
      </c>
      <c r="I7" s="9">
        <v>113576.33</v>
      </c>
      <c r="J7" s="9">
        <v>60000</v>
      </c>
      <c r="K7" s="9">
        <v>468422.61</v>
      </c>
      <c r="L7" s="9">
        <v>70000</v>
      </c>
      <c r="M7" s="9">
        <v>60672</v>
      </c>
      <c r="N7" s="9">
        <v>50000</v>
      </c>
      <c r="O7" s="9">
        <v>32291.25</v>
      </c>
      <c r="P7" s="9">
        <v>269867.95</v>
      </c>
      <c r="Q7" s="9">
        <v>3568000</v>
      </c>
      <c r="R7" s="9">
        <v>95371.31</v>
      </c>
      <c r="T7" s="9">
        <v>10</v>
      </c>
      <c r="U7" s="9">
        <v>93900</v>
      </c>
      <c r="V7" s="9">
        <v>204947.33</v>
      </c>
      <c r="W7" s="9">
        <v>153880.25</v>
      </c>
      <c r="X7" s="9">
        <v>50000</v>
      </c>
      <c r="Y7" s="9">
        <v>60000</v>
      </c>
      <c r="Z7" s="9">
        <v>60000</v>
      </c>
      <c r="AB7" s="9">
        <v>35550</v>
      </c>
      <c r="AC7" s="9">
        <v>509142.93</v>
      </c>
      <c r="AD7" s="9">
        <v>94148.25</v>
      </c>
      <c r="AE7" s="9">
        <v>20299.32</v>
      </c>
      <c r="AF7" s="9">
        <v>176636.52</v>
      </c>
      <c r="AG7" s="9">
        <v>125059.38</v>
      </c>
      <c r="AH7" s="9">
        <v>45458.9</v>
      </c>
      <c r="AI7" s="9">
        <v>7114.94</v>
      </c>
      <c r="AJ7" s="9">
        <v>4555.87</v>
      </c>
      <c r="AK7" s="9">
        <v>13994.25</v>
      </c>
      <c r="AL7" s="9">
        <v>188273.7</v>
      </c>
    </row>
    <row r="8" spans="1:38">
      <c r="A8" s="174" t="s">
        <v>398</v>
      </c>
      <c r="B8" s="131">
        <v>245562</v>
      </c>
      <c r="C8" s="131">
        <f>K151</f>
        <v>31259362.609999999</v>
      </c>
      <c r="D8" s="131">
        <v>0</v>
      </c>
      <c r="E8" s="131">
        <v>9283803.9900000002</v>
      </c>
      <c r="G8" s="9">
        <v>179813.88</v>
      </c>
      <c r="H8" s="9">
        <v>45000</v>
      </c>
      <c r="I8" s="9">
        <v>49533</v>
      </c>
      <c r="J8" s="9">
        <v>70000</v>
      </c>
      <c r="K8" s="9">
        <v>241135.65</v>
      </c>
      <c r="L8" s="9">
        <v>45000</v>
      </c>
      <c r="M8" s="9">
        <v>55000</v>
      </c>
      <c r="N8" s="9">
        <v>50000</v>
      </c>
      <c r="O8" s="9">
        <v>236017.44</v>
      </c>
      <c r="P8" s="9">
        <v>362491.5</v>
      </c>
      <c r="Q8" s="9">
        <v>144301.56</v>
      </c>
      <c r="R8" s="9">
        <v>287823.05</v>
      </c>
      <c r="T8" s="9">
        <v>148640</v>
      </c>
      <c r="U8" s="9">
        <v>53873</v>
      </c>
      <c r="V8" s="9">
        <v>25491.33</v>
      </c>
      <c r="W8" s="9">
        <v>13532.7</v>
      </c>
      <c r="X8" s="9">
        <v>305536</v>
      </c>
      <c r="Y8" s="9">
        <v>65000</v>
      </c>
      <c r="Z8" s="9">
        <v>65000</v>
      </c>
      <c r="AB8" s="9">
        <v>44437.5</v>
      </c>
      <c r="AC8" s="9">
        <v>642941.88</v>
      </c>
      <c r="AD8" s="9">
        <v>23444.9</v>
      </c>
      <c r="AE8" s="9">
        <v>21736.44</v>
      </c>
      <c r="AF8" s="9">
        <v>283615.63</v>
      </c>
      <c r="AG8" s="9">
        <v>42514.8</v>
      </c>
      <c r="AH8" s="9">
        <v>63871.5</v>
      </c>
      <c r="AI8" s="9">
        <v>22979.119999999999</v>
      </c>
      <c r="AJ8" s="9">
        <v>91157.32</v>
      </c>
      <c r="AK8" s="9">
        <v>25963.8</v>
      </c>
      <c r="AL8" s="9">
        <v>36486.879999999997</v>
      </c>
    </row>
    <row r="9" spans="1:38">
      <c r="A9" s="174" t="s">
        <v>397</v>
      </c>
      <c r="B9" s="131">
        <f>315348</f>
        <v>315348</v>
      </c>
      <c r="C9" s="131">
        <f>L213</f>
        <v>48162643.869999975</v>
      </c>
      <c r="D9" s="131">
        <f>T10</f>
        <v>590576.46</v>
      </c>
      <c r="E9" s="131">
        <v>7178355.46</v>
      </c>
      <c r="G9" s="9">
        <v>65000</v>
      </c>
      <c r="H9" s="9">
        <v>50000</v>
      </c>
      <c r="I9" s="9">
        <v>235087.21</v>
      </c>
      <c r="J9" s="9">
        <v>177361.91</v>
      </c>
      <c r="K9" s="9">
        <v>25517</v>
      </c>
      <c r="L9" s="9">
        <v>70000</v>
      </c>
      <c r="M9" s="9">
        <v>33935</v>
      </c>
      <c r="N9" s="9">
        <v>494306.96</v>
      </c>
      <c r="O9" s="9">
        <v>39164.25</v>
      </c>
      <c r="P9" s="9">
        <v>360765.35</v>
      </c>
      <c r="Q9" s="9">
        <v>51669.55</v>
      </c>
      <c r="R9" s="9">
        <v>52582.65</v>
      </c>
      <c r="T9" s="9">
        <v>251365</v>
      </c>
      <c r="U9" s="9">
        <v>160532.5</v>
      </c>
      <c r="V9" s="9">
        <v>645112</v>
      </c>
      <c r="W9" s="9">
        <v>17301</v>
      </c>
      <c r="X9" s="9">
        <v>62000</v>
      </c>
      <c r="Y9" s="9">
        <v>65000</v>
      </c>
      <c r="Z9" s="9">
        <v>65000</v>
      </c>
      <c r="AB9" s="9">
        <v>31736.400000000001</v>
      </c>
      <c r="AC9" s="9">
        <v>2994</v>
      </c>
      <c r="AD9" s="9">
        <v>27065.759999999998</v>
      </c>
      <c r="AE9" s="9">
        <v>41475</v>
      </c>
      <c r="AF9" s="9">
        <v>303182.42</v>
      </c>
      <c r="AG9" s="9">
        <v>35389.08</v>
      </c>
      <c r="AH9" s="9">
        <v>120593.5</v>
      </c>
      <c r="AI9" s="9">
        <v>62759.23</v>
      </c>
      <c r="AJ9" s="9">
        <v>88552.54</v>
      </c>
      <c r="AK9" s="9">
        <v>68760.399999999994</v>
      </c>
      <c r="AL9" s="9">
        <v>30668.25</v>
      </c>
    </row>
    <row r="10" spans="1:38">
      <c r="A10" s="174" t="s">
        <v>396</v>
      </c>
      <c r="B10" s="131">
        <f>697737+568238+192667.5</f>
        <v>1458642.5</v>
      </c>
      <c r="C10" s="131">
        <f>M132</f>
        <v>31400656.279999997</v>
      </c>
      <c r="D10" s="131">
        <f>U35</f>
        <v>15846683.939999999</v>
      </c>
      <c r="E10" s="131">
        <v>5409490.3300000001</v>
      </c>
      <c r="G10" s="9">
        <v>55000</v>
      </c>
      <c r="H10" s="9">
        <v>65000</v>
      </c>
      <c r="I10" s="9">
        <v>32291.25</v>
      </c>
      <c r="J10" s="9">
        <v>343360</v>
      </c>
      <c r="K10" s="9">
        <v>75129</v>
      </c>
      <c r="L10" s="9">
        <v>45000</v>
      </c>
      <c r="M10" s="9">
        <v>14190</v>
      </c>
      <c r="N10" s="9">
        <v>500125.3</v>
      </c>
      <c r="O10" s="9">
        <v>141832.65</v>
      </c>
      <c r="P10" s="9">
        <v>389122.4</v>
      </c>
      <c r="Q10" s="9">
        <v>79261.05</v>
      </c>
      <c r="R10" s="9">
        <v>128747.1</v>
      </c>
      <c r="T10" s="12">
        <f>SUM(T2:T9)</f>
        <v>590576.46</v>
      </c>
      <c r="U10" s="9">
        <v>100060</v>
      </c>
      <c r="V10" s="9">
        <v>200000</v>
      </c>
      <c r="W10" s="9">
        <v>98749.38</v>
      </c>
      <c r="X10" s="9">
        <v>274216.25</v>
      </c>
      <c r="Y10" s="9">
        <v>65000</v>
      </c>
      <c r="Z10" s="9">
        <v>65000</v>
      </c>
      <c r="AB10" s="9">
        <v>20528.86</v>
      </c>
      <c r="AC10" s="9">
        <v>155412.54999999999</v>
      </c>
      <c r="AD10" s="9">
        <v>367240</v>
      </c>
      <c r="AE10" s="9">
        <v>40290</v>
      </c>
      <c r="AF10" s="9">
        <v>73617.47</v>
      </c>
      <c r="AG10" s="9">
        <v>231045.38</v>
      </c>
      <c r="AH10" s="9">
        <v>27018</v>
      </c>
      <c r="AI10" s="9">
        <v>71696.320000000007</v>
      </c>
      <c r="AJ10" s="9">
        <v>149181.04</v>
      </c>
      <c r="AK10" s="9">
        <v>17140.48</v>
      </c>
      <c r="AL10" s="9">
        <v>28584</v>
      </c>
    </row>
    <row r="11" spans="1:38">
      <c r="A11" s="174" t="s">
        <v>423</v>
      </c>
      <c r="B11" s="131">
        <f>239358.5+7560+147225</f>
        <v>394143.5</v>
      </c>
      <c r="C11" s="131">
        <f>N137</f>
        <v>28359124.339999996</v>
      </c>
      <c r="D11" s="131">
        <f>V50</f>
        <v>22109924.640000001</v>
      </c>
      <c r="E11" s="131">
        <v>1863041.05</v>
      </c>
      <c r="G11" s="9">
        <v>60000</v>
      </c>
      <c r="H11" s="9">
        <v>65000</v>
      </c>
      <c r="I11" s="9">
        <v>50000</v>
      </c>
      <c r="J11" s="9">
        <v>50000</v>
      </c>
      <c r="K11" s="9">
        <v>159046.75</v>
      </c>
      <c r="L11" s="9">
        <v>80000</v>
      </c>
      <c r="M11" s="9">
        <v>75000</v>
      </c>
      <c r="N11" s="9">
        <v>35194.5</v>
      </c>
      <c r="O11" s="9">
        <v>87097.5</v>
      </c>
      <c r="P11" s="9">
        <v>307262.59999999998</v>
      </c>
      <c r="Q11" s="9">
        <v>165070.62</v>
      </c>
      <c r="R11" s="9">
        <v>10445.07</v>
      </c>
      <c r="U11" s="9">
        <v>72240</v>
      </c>
      <c r="V11" s="9">
        <v>104024</v>
      </c>
      <c r="W11" s="9">
        <v>86205.5</v>
      </c>
      <c r="X11" s="9">
        <v>229312</v>
      </c>
      <c r="Y11" s="9">
        <v>3000000</v>
      </c>
      <c r="Z11" s="9">
        <v>92987</v>
      </c>
      <c r="AB11" s="9">
        <v>137544.35999999999</v>
      </c>
      <c r="AC11" s="9">
        <v>260058.84</v>
      </c>
      <c r="AD11" s="9">
        <v>50421.75</v>
      </c>
      <c r="AE11" s="9">
        <v>88233.12</v>
      </c>
      <c r="AF11" s="9">
        <v>104872.5</v>
      </c>
      <c r="AG11" s="9">
        <v>15750.63</v>
      </c>
      <c r="AH11" s="9">
        <v>1</v>
      </c>
      <c r="AI11" s="9">
        <v>93695.13</v>
      </c>
      <c r="AJ11" s="9">
        <v>442360.5</v>
      </c>
      <c r="AK11" s="9">
        <v>9700.56</v>
      </c>
      <c r="AL11" s="9">
        <v>67459.81</v>
      </c>
    </row>
    <row r="12" spans="1:38">
      <c r="A12" s="174" t="s">
        <v>422</v>
      </c>
      <c r="B12" s="131">
        <f>349628+12204+12000+25560</f>
        <v>399392</v>
      </c>
      <c r="C12" s="131">
        <f>O67</f>
        <v>21713921.309999999</v>
      </c>
      <c r="D12" s="131">
        <f>W94</f>
        <v>22114825.880000003</v>
      </c>
      <c r="E12" s="131">
        <v>1344683.83</v>
      </c>
      <c r="G12" s="9">
        <v>55000</v>
      </c>
      <c r="H12" s="9">
        <v>60000</v>
      </c>
      <c r="I12" s="9">
        <v>75000</v>
      </c>
      <c r="J12" s="9">
        <v>55000</v>
      </c>
      <c r="K12" s="9">
        <v>650000</v>
      </c>
      <c r="L12" s="9">
        <v>337801.06</v>
      </c>
      <c r="M12" s="9">
        <v>60000</v>
      </c>
      <c r="N12" s="9">
        <v>656989.9</v>
      </c>
      <c r="O12" s="9">
        <v>301001.84999999998</v>
      </c>
      <c r="P12" s="9">
        <v>31935.75</v>
      </c>
      <c r="Q12" s="9">
        <v>269987.78999999998</v>
      </c>
      <c r="R12" s="9">
        <v>543066.42000000004</v>
      </c>
      <c r="U12" s="9">
        <v>74460</v>
      </c>
      <c r="V12" s="9">
        <v>20216.099999999999</v>
      </c>
      <c r="W12" s="9">
        <v>105852.49</v>
      </c>
      <c r="X12" s="9">
        <v>394469.75</v>
      </c>
      <c r="Y12" s="9">
        <v>2000000</v>
      </c>
      <c r="Z12" s="9">
        <v>27869.4</v>
      </c>
      <c r="AB12" s="9">
        <v>99.8</v>
      </c>
      <c r="AC12" s="9">
        <v>22059.79</v>
      </c>
      <c r="AD12" s="9">
        <v>51369.75</v>
      </c>
      <c r="AE12" s="9">
        <v>217672.75</v>
      </c>
      <c r="AF12" s="9">
        <v>17125.349999999999</v>
      </c>
      <c r="AG12" s="9">
        <v>24421.06</v>
      </c>
      <c r="AH12" s="9">
        <v>14011.92</v>
      </c>
      <c r="AI12" s="9">
        <v>25299.75</v>
      </c>
      <c r="AJ12" s="9">
        <v>14871.75</v>
      </c>
      <c r="AK12" s="9">
        <v>25948</v>
      </c>
      <c r="AL12" s="9">
        <v>44420.98</v>
      </c>
    </row>
    <row r="13" spans="1:38">
      <c r="A13" s="174" t="s">
        <v>421</v>
      </c>
      <c r="B13" s="131">
        <f>572455+198443+187500+285094</f>
        <v>1243492</v>
      </c>
      <c r="C13" s="131">
        <f>P51</f>
        <v>14466229.880000001</v>
      </c>
      <c r="D13" s="131">
        <f>X89</f>
        <v>21442162.289999999</v>
      </c>
      <c r="E13" s="131">
        <v>2117397.98</v>
      </c>
      <c r="G13" s="9">
        <v>555429.26</v>
      </c>
      <c r="H13" s="9">
        <v>489851.35</v>
      </c>
      <c r="I13" s="9">
        <v>60000</v>
      </c>
      <c r="J13" s="9">
        <v>30000</v>
      </c>
      <c r="K13" s="9">
        <v>188340</v>
      </c>
      <c r="L13" s="9">
        <v>0.99</v>
      </c>
      <c r="M13" s="9">
        <v>70000</v>
      </c>
      <c r="N13" s="9">
        <v>761831.15</v>
      </c>
      <c r="O13" s="9">
        <v>3950</v>
      </c>
      <c r="P13" s="9">
        <v>220527.19</v>
      </c>
      <c r="Q13" s="9">
        <v>88241.19</v>
      </c>
      <c r="R13" s="9">
        <v>374989.41</v>
      </c>
      <c r="U13" s="9">
        <v>308480</v>
      </c>
      <c r="V13" s="9">
        <v>93294.88</v>
      </c>
      <c r="W13" s="9">
        <v>62748</v>
      </c>
      <c r="X13" s="9">
        <v>344664.38</v>
      </c>
      <c r="Y13" s="9">
        <v>1713040</v>
      </c>
      <c r="Z13" s="9">
        <v>750000</v>
      </c>
      <c r="AB13" s="9">
        <v>3832.32</v>
      </c>
      <c r="AC13" s="9">
        <v>53574.64</v>
      </c>
      <c r="AD13" s="9">
        <v>253711.56</v>
      </c>
      <c r="AE13" s="9">
        <v>611793.77</v>
      </c>
      <c r="AF13" s="9">
        <v>73113.48</v>
      </c>
      <c r="AG13" s="9">
        <v>54154.5</v>
      </c>
      <c r="AH13" s="9">
        <v>21330</v>
      </c>
      <c r="AI13" s="9">
        <v>31137.599999999999</v>
      </c>
      <c r="AJ13" s="9">
        <v>30778.32</v>
      </c>
      <c r="AK13" s="9">
        <v>8068.83</v>
      </c>
      <c r="AL13" s="9">
        <v>100103.55</v>
      </c>
    </row>
    <row r="14" spans="1:38">
      <c r="A14" s="174" t="s">
        <v>420</v>
      </c>
      <c r="B14" s="131">
        <f>338940</f>
        <v>338940</v>
      </c>
      <c r="C14" s="131">
        <f>Q55</f>
        <v>21251681.659999993</v>
      </c>
      <c r="D14" s="131">
        <f>Y100</f>
        <v>31603536.799999997</v>
      </c>
      <c r="E14" s="131">
        <v>2951832.29</v>
      </c>
      <c r="G14" s="9">
        <v>569827.01</v>
      </c>
      <c r="H14" s="9">
        <v>52051.13</v>
      </c>
      <c r="I14" s="9">
        <v>60000</v>
      </c>
      <c r="J14" s="9">
        <v>60000</v>
      </c>
      <c r="K14" s="9">
        <v>28380</v>
      </c>
      <c r="L14" s="9">
        <v>170959.95</v>
      </c>
      <c r="M14" s="9">
        <v>60000</v>
      </c>
      <c r="N14" s="9">
        <v>19904.400000000001</v>
      </c>
      <c r="O14" s="9">
        <v>616829.05000000005</v>
      </c>
      <c r="P14" s="9">
        <v>49888.5</v>
      </c>
      <c r="Q14" s="9">
        <v>318973.62</v>
      </c>
      <c r="R14" s="9">
        <v>374902.98</v>
      </c>
      <c r="U14" s="9">
        <v>203300</v>
      </c>
      <c r="V14" s="9">
        <v>240000</v>
      </c>
      <c r="W14" s="9">
        <v>62982.75</v>
      </c>
      <c r="X14" s="9">
        <v>574614.4</v>
      </c>
      <c r="Y14" s="9">
        <v>68446.77</v>
      </c>
      <c r="Z14" s="9">
        <v>120000</v>
      </c>
      <c r="AB14" s="9">
        <v>39361.14</v>
      </c>
      <c r="AC14" s="9">
        <v>34275.31</v>
      </c>
      <c r="AD14" s="9">
        <v>121012.2</v>
      </c>
      <c r="AE14" s="9">
        <v>50706.15</v>
      </c>
      <c r="AF14" s="9">
        <v>221021.07</v>
      </c>
      <c r="AG14" s="9">
        <v>122216.95</v>
      </c>
      <c r="AH14" s="9">
        <v>68927.5</v>
      </c>
      <c r="AI14" s="9">
        <v>27784.32</v>
      </c>
      <c r="AJ14" s="9">
        <v>24648</v>
      </c>
      <c r="AK14" s="9">
        <v>33705.300000000003</v>
      </c>
      <c r="AL14" s="9">
        <v>58478.1</v>
      </c>
    </row>
    <row r="15" spans="1:38">
      <c r="A15" s="174" t="s">
        <v>419</v>
      </c>
      <c r="B15" s="131">
        <f>391544+30960+193470.5</f>
        <v>615974.5</v>
      </c>
      <c r="C15" s="131">
        <f>R65</f>
        <v>46197242.670000009</v>
      </c>
      <c r="D15" s="131">
        <f>Z105</f>
        <v>27872340.669999994</v>
      </c>
      <c r="E15" s="131">
        <v>7100220.2400000002</v>
      </c>
      <c r="G15" s="9">
        <v>848416.57</v>
      </c>
      <c r="H15" s="9">
        <v>1000000</v>
      </c>
      <c r="I15" s="9">
        <v>60000</v>
      </c>
      <c r="J15" s="9">
        <v>60000</v>
      </c>
      <c r="K15" s="9">
        <v>52080.78</v>
      </c>
      <c r="L15" s="9">
        <v>50000</v>
      </c>
      <c r="M15" s="9">
        <v>557896.03</v>
      </c>
      <c r="N15" s="9">
        <v>43789.68</v>
      </c>
      <c r="O15" s="9">
        <v>642872.55000000005</v>
      </c>
      <c r="P15" s="9">
        <v>252545.23</v>
      </c>
      <c r="Q15" s="9">
        <v>475008.51</v>
      </c>
      <c r="R15" s="9">
        <v>884071.58</v>
      </c>
      <c r="U15" s="9">
        <v>65060</v>
      </c>
      <c r="V15" s="9">
        <v>73244</v>
      </c>
      <c r="W15" s="9">
        <v>1000000</v>
      </c>
      <c r="X15" s="9">
        <v>65000</v>
      </c>
      <c r="Y15" s="9">
        <v>211400</v>
      </c>
      <c r="Z15" s="9">
        <v>1000000</v>
      </c>
      <c r="AB15" s="9">
        <v>381697.08</v>
      </c>
      <c r="AC15" s="9">
        <v>18562.8</v>
      </c>
      <c r="AD15" s="9">
        <v>7347</v>
      </c>
      <c r="AE15" s="9">
        <v>9370.2000000000007</v>
      </c>
      <c r="AF15" s="9">
        <v>95101.85</v>
      </c>
      <c r="AG15" s="9">
        <v>138382.68</v>
      </c>
      <c r="AH15" s="9">
        <v>47844.12</v>
      </c>
      <c r="AI15" s="9">
        <v>106726.12</v>
      </c>
      <c r="AJ15" s="9">
        <v>41475</v>
      </c>
      <c r="AK15" s="9">
        <v>51086.85</v>
      </c>
      <c r="AL15" s="9">
        <v>15089.76</v>
      </c>
    </row>
    <row r="16" spans="1:38">
      <c r="A16" s="173" t="s">
        <v>22</v>
      </c>
      <c r="B16" s="131">
        <f>SUM(B4:B15)</f>
        <v>6258641.5</v>
      </c>
      <c r="C16" s="131">
        <f>SUM(C4:C15)</f>
        <v>368053083.32999992</v>
      </c>
      <c r="D16" s="131">
        <f>SUM(D4:D15)</f>
        <v>141580050.68000001</v>
      </c>
      <c r="E16" s="131">
        <f>SUM(E4:E15)</f>
        <v>57348191.779999994</v>
      </c>
      <c r="G16" s="9">
        <v>443304.55</v>
      </c>
      <c r="H16" s="9">
        <v>1000000</v>
      </c>
      <c r="I16" s="9">
        <v>10000</v>
      </c>
      <c r="J16" s="9">
        <v>65000</v>
      </c>
      <c r="K16" s="9">
        <v>29625</v>
      </c>
      <c r="L16" s="9">
        <v>55000</v>
      </c>
      <c r="M16" s="9">
        <v>185434.73</v>
      </c>
      <c r="N16" s="9">
        <v>2328</v>
      </c>
      <c r="O16" s="9">
        <v>436666.58</v>
      </c>
      <c r="P16" s="9">
        <v>609962.94999999995</v>
      </c>
      <c r="Q16" s="9">
        <v>767599.5</v>
      </c>
      <c r="R16" s="9">
        <v>940127.77</v>
      </c>
      <c r="U16" s="9">
        <v>331825</v>
      </c>
      <c r="V16" s="9">
        <v>2449</v>
      </c>
      <c r="W16" s="9">
        <v>1000000</v>
      </c>
      <c r="X16" s="9">
        <v>55000</v>
      </c>
      <c r="Y16" s="9">
        <v>33864.1</v>
      </c>
      <c r="Z16" s="9">
        <v>1000000</v>
      </c>
      <c r="AB16" s="9">
        <v>99.8</v>
      </c>
      <c r="AC16" s="9">
        <v>23137.63</v>
      </c>
      <c r="AD16" s="9">
        <v>30523.63</v>
      </c>
      <c r="AE16" s="9">
        <v>12095.77</v>
      </c>
      <c r="AF16" s="9">
        <v>21448.5</v>
      </c>
      <c r="AG16" s="9">
        <v>43852.12</v>
      </c>
      <c r="AH16" s="9">
        <v>22992.09</v>
      </c>
      <c r="AI16" s="9">
        <v>25477.5</v>
      </c>
      <c r="AJ16" s="9">
        <v>68572</v>
      </c>
      <c r="AK16" s="9">
        <v>108782.96</v>
      </c>
      <c r="AL16" s="9">
        <v>18807.88</v>
      </c>
    </row>
    <row r="17" spans="1:38">
      <c r="G17" s="9">
        <v>50000</v>
      </c>
      <c r="H17" s="9">
        <v>242237.71</v>
      </c>
      <c r="I17" s="9">
        <v>272147.09999999998</v>
      </c>
      <c r="J17" s="9">
        <v>31758</v>
      </c>
      <c r="K17" s="9">
        <v>1000000</v>
      </c>
      <c r="L17" s="9">
        <v>45000</v>
      </c>
      <c r="M17" s="9">
        <v>60000</v>
      </c>
      <c r="N17" s="9">
        <v>2328</v>
      </c>
      <c r="O17" s="9">
        <v>651991.93999999994</v>
      </c>
      <c r="P17" s="9">
        <v>488358.25</v>
      </c>
      <c r="Q17" s="9">
        <v>596021.06000000006</v>
      </c>
      <c r="R17" s="9">
        <v>474047.56</v>
      </c>
      <c r="U17" s="9">
        <v>90820</v>
      </c>
      <c r="V17" s="9">
        <v>24588.75</v>
      </c>
      <c r="W17" s="9">
        <v>7702.5</v>
      </c>
      <c r="X17" s="9">
        <v>65000</v>
      </c>
      <c r="Y17" s="9">
        <v>50000</v>
      </c>
      <c r="Z17" s="9">
        <v>43787.75</v>
      </c>
      <c r="AB17" s="9">
        <v>577901.88</v>
      </c>
      <c r="AC17" s="9">
        <v>15859.25</v>
      </c>
      <c r="AD17" s="9">
        <v>40704.75</v>
      </c>
      <c r="AE17" s="9">
        <v>1232.4000000000001</v>
      </c>
      <c r="AF17" s="9">
        <v>346778.05</v>
      </c>
      <c r="AG17" s="9">
        <v>108173.22</v>
      </c>
      <c r="AH17" s="9">
        <v>68611.5</v>
      </c>
      <c r="AI17" s="9">
        <v>12205.5</v>
      </c>
      <c r="AJ17" s="9">
        <v>64850.04</v>
      </c>
      <c r="AK17" s="9">
        <v>162631.04999999999</v>
      </c>
      <c r="AL17" s="9">
        <v>30836.98</v>
      </c>
    </row>
    <row r="18" spans="1:38">
      <c r="A18" t="s">
        <v>447</v>
      </c>
      <c r="B18" s="9"/>
      <c r="C18" s="12">
        <f>B16+C16+D16+E16</f>
        <v>573239967.28999996</v>
      </c>
      <c r="E18" s="12"/>
      <c r="G18" s="9">
        <v>55000</v>
      </c>
      <c r="H18" s="9">
        <v>29151</v>
      </c>
      <c r="I18" s="9">
        <v>115221.5</v>
      </c>
      <c r="J18" s="9">
        <v>125072.8</v>
      </c>
      <c r="K18" s="9">
        <v>1000000</v>
      </c>
      <c r="L18" s="9">
        <v>336880.69</v>
      </c>
      <c r="M18" s="9">
        <v>50000</v>
      </c>
      <c r="N18" s="9">
        <v>7042.2</v>
      </c>
      <c r="O18" s="9">
        <v>74160</v>
      </c>
      <c r="P18" s="9">
        <v>628618.80000000005</v>
      </c>
      <c r="Q18" s="9">
        <v>175775.72</v>
      </c>
      <c r="R18" s="9">
        <v>16920</v>
      </c>
      <c r="U18" s="9">
        <v>36622.5</v>
      </c>
      <c r="V18" s="9">
        <v>120000</v>
      </c>
      <c r="W18" s="9">
        <v>13983</v>
      </c>
      <c r="X18" s="9">
        <v>45000</v>
      </c>
      <c r="Y18" s="9">
        <v>103718.39999999999</v>
      </c>
      <c r="Z18" s="9">
        <v>595.5</v>
      </c>
      <c r="AB18" s="9">
        <v>13173.6</v>
      </c>
      <c r="AC18" s="9">
        <v>66150</v>
      </c>
      <c r="AD18" s="9">
        <v>141135.97</v>
      </c>
      <c r="AE18" s="9">
        <v>23053.8</v>
      </c>
      <c r="AF18" s="9">
        <v>315630.46000000002</v>
      </c>
      <c r="AG18" s="9">
        <v>146584.5</v>
      </c>
      <c r="AH18" s="9">
        <v>24825.75</v>
      </c>
      <c r="AI18" s="9">
        <v>110847.86</v>
      </c>
      <c r="AJ18" s="9">
        <v>31106.25</v>
      </c>
      <c r="AK18" s="9">
        <v>101468.24</v>
      </c>
      <c r="AL18" s="9">
        <v>109989.58</v>
      </c>
    </row>
    <row r="19" spans="1:38">
      <c r="G19" s="9">
        <v>65000</v>
      </c>
      <c r="H19" s="9">
        <v>100000</v>
      </c>
      <c r="I19" s="9">
        <v>6023.75</v>
      </c>
      <c r="J19" s="9">
        <v>3792</v>
      </c>
      <c r="K19" s="9">
        <v>119951.63</v>
      </c>
      <c r="L19" s="9">
        <v>39401.25</v>
      </c>
      <c r="M19" s="9">
        <v>50000</v>
      </c>
      <c r="N19" s="9">
        <v>13386</v>
      </c>
      <c r="O19" s="9">
        <v>46618.2</v>
      </c>
      <c r="P19" s="9">
        <v>113331.43</v>
      </c>
      <c r="Q19" s="9">
        <v>243051.34</v>
      </c>
      <c r="R19" s="9">
        <v>261240</v>
      </c>
      <c r="U19" s="9">
        <v>60760</v>
      </c>
      <c r="V19" s="9">
        <v>3493750</v>
      </c>
      <c r="W19" s="9">
        <v>4900000</v>
      </c>
      <c r="X19" s="9">
        <v>18040</v>
      </c>
      <c r="Y19" s="9">
        <v>1607515</v>
      </c>
      <c r="Z19" s="9">
        <v>385000</v>
      </c>
      <c r="AB19" s="9">
        <v>85987.68</v>
      </c>
      <c r="AC19" s="9">
        <v>137400.75</v>
      </c>
      <c r="AD19" s="9">
        <v>79537.2</v>
      </c>
      <c r="AE19" s="9">
        <v>54628.5</v>
      </c>
      <c r="AF19" s="9">
        <v>418707.9</v>
      </c>
      <c r="AG19" s="9">
        <v>53009</v>
      </c>
      <c r="AH19" s="9">
        <v>388941.67</v>
      </c>
      <c r="AI19" s="9">
        <v>86406.84</v>
      </c>
      <c r="AJ19" s="9">
        <v>63572.6</v>
      </c>
      <c r="AK19" s="9">
        <v>34528.080000000002</v>
      </c>
      <c r="AL19" s="9">
        <v>29520.84</v>
      </c>
    </row>
    <row r="20" spans="1:38">
      <c r="A20" s="40" t="s">
        <v>449</v>
      </c>
      <c r="B20" s="12"/>
      <c r="G20" s="9">
        <v>60000</v>
      </c>
      <c r="H20" s="9">
        <v>75000</v>
      </c>
      <c r="I20" s="9">
        <v>84454.95</v>
      </c>
      <c r="J20" s="9">
        <v>150000</v>
      </c>
      <c r="K20" s="9">
        <v>32054.25</v>
      </c>
      <c r="L20" s="9">
        <v>322740.68</v>
      </c>
      <c r="M20" s="9">
        <v>45000</v>
      </c>
      <c r="N20" s="9">
        <v>52733.49</v>
      </c>
      <c r="O20" s="9">
        <v>8904.6</v>
      </c>
      <c r="P20" s="9">
        <v>179650.94</v>
      </c>
      <c r="Q20" s="9">
        <v>108091.19</v>
      </c>
      <c r="R20" s="9">
        <v>173747.05</v>
      </c>
      <c r="U20" s="9">
        <v>6116478.2599999998</v>
      </c>
      <c r="V20" s="9">
        <v>157884.5</v>
      </c>
      <c r="W20" s="9">
        <v>120000</v>
      </c>
      <c r="X20" s="9">
        <v>65000</v>
      </c>
      <c r="Y20" s="9">
        <v>187101.2</v>
      </c>
      <c r="Z20" s="9">
        <v>50000</v>
      </c>
      <c r="AB20" s="9">
        <v>39203.440000000002</v>
      </c>
      <c r="AC20" s="9">
        <v>56524.5</v>
      </c>
      <c r="AD20" s="9">
        <v>24861.1</v>
      </c>
      <c r="AE20" s="9">
        <v>66478.5</v>
      </c>
      <c r="AF20" s="9">
        <v>52732.5</v>
      </c>
      <c r="AG20" s="9">
        <v>95752.94</v>
      </c>
      <c r="AH20" s="9">
        <v>21122.67</v>
      </c>
      <c r="AI20" s="9">
        <v>53858.25</v>
      </c>
      <c r="AJ20" s="9">
        <v>88742.16</v>
      </c>
      <c r="AK20" s="9">
        <v>3567.85</v>
      </c>
      <c r="AL20" s="9">
        <v>78946.789999999994</v>
      </c>
    </row>
    <row r="21" spans="1:38">
      <c r="A21" s="70" t="s">
        <v>430</v>
      </c>
      <c r="B21" s="70" t="s">
        <v>429</v>
      </c>
      <c r="C21" s="70" t="s">
        <v>428</v>
      </c>
      <c r="D21" s="70" t="s">
        <v>427</v>
      </c>
      <c r="E21" s="70" t="s">
        <v>426</v>
      </c>
      <c r="G21" s="9">
        <v>40000</v>
      </c>
      <c r="H21" s="9">
        <v>50000</v>
      </c>
      <c r="I21" s="9">
        <v>1000000</v>
      </c>
      <c r="J21" s="9">
        <v>633723.44999999995</v>
      </c>
      <c r="K21" s="9">
        <v>151077.07</v>
      </c>
      <c r="L21" s="9">
        <v>163707.75</v>
      </c>
      <c r="M21" s="9">
        <v>198827.2</v>
      </c>
      <c r="N21" s="9">
        <v>17123.25</v>
      </c>
      <c r="O21" s="9">
        <v>84271.28</v>
      </c>
      <c r="P21" s="9">
        <v>258448.31</v>
      </c>
      <c r="Q21" s="9">
        <v>786500</v>
      </c>
      <c r="R21" s="9">
        <v>9000000</v>
      </c>
      <c r="U21" s="9">
        <v>101325.7</v>
      </c>
      <c r="V21" s="9">
        <v>273977.15000000002</v>
      </c>
      <c r="W21" s="9">
        <v>63549.98</v>
      </c>
      <c r="X21" s="9">
        <v>55000</v>
      </c>
      <c r="Y21" s="9">
        <v>65000</v>
      </c>
      <c r="Z21" s="9">
        <v>3970</v>
      </c>
      <c r="AB21" s="9">
        <v>25418.25</v>
      </c>
      <c r="AC21" s="9">
        <v>58065.68</v>
      </c>
      <c r="AD21" s="9">
        <v>62478.79</v>
      </c>
      <c r="AE21" s="9">
        <v>66478.5</v>
      </c>
      <c r="AF21" s="9">
        <v>70329.75</v>
      </c>
      <c r="AG21" s="9">
        <v>61916.25</v>
      </c>
      <c r="AH21" s="9">
        <v>31027.82</v>
      </c>
      <c r="AI21" s="12">
        <f>SUM(AI2:AI20)</f>
        <v>1344683.83</v>
      </c>
      <c r="AJ21" s="9">
        <v>139275.89000000001</v>
      </c>
      <c r="AK21" s="9">
        <v>20782.95</v>
      </c>
      <c r="AL21" s="9">
        <v>256571.18</v>
      </c>
    </row>
    <row r="22" spans="1:38">
      <c r="A22" s="174" t="s">
        <v>425</v>
      </c>
      <c r="B22" s="70"/>
      <c r="C22" s="131">
        <v>4000000</v>
      </c>
      <c r="D22" s="131"/>
      <c r="E22" s="131"/>
      <c r="G22" s="9">
        <v>385940.68</v>
      </c>
      <c r="H22" s="9">
        <v>55000</v>
      </c>
      <c r="I22" s="9">
        <v>100000</v>
      </c>
      <c r="J22" s="9">
        <v>105761.25</v>
      </c>
      <c r="K22" s="9">
        <v>19848.75</v>
      </c>
      <c r="L22" s="9">
        <v>65000</v>
      </c>
      <c r="M22" s="9">
        <v>113790.02</v>
      </c>
      <c r="N22" s="9">
        <v>290000</v>
      </c>
      <c r="O22" s="9">
        <v>45918.75</v>
      </c>
      <c r="P22" s="9">
        <v>163277.20000000001</v>
      </c>
      <c r="Q22" s="9">
        <v>152138.34</v>
      </c>
      <c r="R22" s="9">
        <v>1440000</v>
      </c>
      <c r="U22" s="9">
        <v>342320</v>
      </c>
      <c r="V22" s="9">
        <v>106294.5</v>
      </c>
      <c r="W22" s="9">
        <v>12447.44</v>
      </c>
      <c r="X22" s="9">
        <v>55000</v>
      </c>
      <c r="Y22" s="9">
        <v>65000</v>
      </c>
      <c r="Z22" s="9">
        <v>18216</v>
      </c>
      <c r="AB22" s="9">
        <v>82545.13</v>
      </c>
      <c r="AC22" s="9">
        <v>64354.73</v>
      </c>
      <c r="AD22" s="9">
        <v>96686.24</v>
      </c>
      <c r="AE22" s="9">
        <v>119922</v>
      </c>
      <c r="AF22" s="9">
        <v>174769.75</v>
      </c>
      <c r="AG22" s="9">
        <v>2000000</v>
      </c>
      <c r="AH22" s="9">
        <v>8233.5</v>
      </c>
      <c r="AJ22" s="9">
        <v>178105.5</v>
      </c>
      <c r="AK22" s="9">
        <v>62636.68</v>
      </c>
      <c r="AL22" s="9">
        <v>40970.400000000001</v>
      </c>
    </row>
    <row r="23" spans="1:38">
      <c r="A23" s="174" t="s">
        <v>424</v>
      </c>
      <c r="B23" s="70"/>
      <c r="C23" s="131">
        <v>184000000</v>
      </c>
      <c r="D23" s="131"/>
      <c r="E23" s="131">
        <v>50000000</v>
      </c>
      <c r="G23" s="9">
        <v>76604.33</v>
      </c>
      <c r="H23" s="9">
        <v>40000</v>
      </c>
      <c r="I23" s="9">
        <v>65000</v>
      </c>
      <c r="J23" s="9">
        <v>250000</v>
      </c>
      <c r="K23" s="9">
        <v>44378.25</v>
      </c>
      <c r="L23" s="9">
        <v>24255</v>
      </c>
      <c r="M23" s="9">
        <v>100000</v>
      </c>
      <c r="N23" s="9">
        <v>13502.4</v>
      </c>
      <c r="O23" s="9">
        <v>293907.65000000002</v>
      </c>
      <c r="P23" s="9">
        <v>149462.07999999999</v>
      </c>
      <c r="Q23" s="9">
        <v>102533.19</v>
      </c>
      <c r="R23" s="9">
        <v>296181.84999999998</v>
      </c>
      <c r="U23" s="9">
        <v>5290000</v>
      </c>
      <c r="V23" s="9">
        <v>392151.5</v>
      </c>
      <c r="W23" s="9">
        <v>66424</v>
      </c>
      <c r="X23" s="9">
        <v>60000</v>
      </c>
      <c r="Y23" s="9">
        <v>35400</v>
      </c>
      <c r="Z23" s="9">
        <v>1000000</v>
      </c>
      <c r="AB23" s="9">
        <v>390965.52</v>
      </c>
      <c r="AC23" s="9">
        <v>8255.5</v>
      </c>
      <c r="AD23" s="9">
        <v>21709.200000000001</v>
      </c>
      <c r="AE23" s="9">
        <v>40645.5</v>
      </c>
      <c r="AF23" s="9">
        <v>6946.08</v>
      </c>
      <c r="AG23" s="9">
        <v>92095.44</v>
      </c>
      <c r="AH23" s="9">
        <v>11158.75</v>
      </c>
      <c r="AJ23" s="9">
        <v>74655</v>
      </c>
      <c r="AK23" s="9">
        <v>8297.2999999999993</v>
      </c>
      <c r="AL23" s="9">
        <v>45793.95</v>
      </c>
    </row>
    <row r="24" spans="1:38">
      <c r="A24" s="174" t="s">
        <v>400</v>
      </c>
      <c r="B24" s="131"/>
      <c r="C24" s="131">
        <v>0</v>
      </c>
      <c r="D24" s="131"/>
      <c r="E24" s="131">
        <v>2000000</v>
      </c>
      <c r="G24" s="9">
        <v>182343.85</v>
      </c>
      <c r="H24" s="9">
        <v>40000</v>
      </c>
      <c r="I24" s="9">
        <v>50000</v>
      </c>
      <c r="J24" s="9">
        <v>55000</v>
      </c>
      <c r="K24" s="9">
        <v>60478.45</v>
      </c>
      <c r="L24" s="9">
        <v>14850</v>
      </c>
      <c r="M24" s="9">
        <v>45000</v>
      </c>
      <c r="N24" s="9">
        <v>9428.4</v>
      </c>
      <c r="O24" s="9">
        <v>115027.95</v>
      </c>
      <c r="P24" s="9">
        <v>181044.3</v>
      </c>
      <c r="Q24" s="9">
        <v>605725.29</v>
      </c>
      <c r="R24" s="9">
        <v>54250.05</v>
      </c>
      <c r="U24" s="9">
        <v>23860</v>
      </c>
      <c r="V24" s="9">
        <v>10862.5</v>
      </c>
      <c r="W24" s="9">
        <v>68285.7</v>
      </c>
      <c r="X24" s="9">
        <v>50000</v>
      </c>
      <c r="Y24" s="9">
        <v>62260</v>
      </c>
      <c r="Z24" s="9">
        <v>87329</v>
      </c>
      <c r="AB24" s="9">
        <v>768344.13</v>
      </c>
      <c r="AC24" s="9">
        <v>168046.44</v>
      </c>
      <c r="AD24" s="9">
        <v>163088.59</v>
      </c>
      <c r="AE24" s="9">
        <v>100718.16</v>
      </c>
      <c r="AF24" s="9">
        <v>44761.4</v>
      </c>
      <c r="AG24" s="9">
        <v>97185.24</v>
      </c>
      <c r="AH24" s="9">
        <v>25258.799999999999</v>
      </c>
      <c r="AJ24" s="9">
        <v>92548.5</v>
      </c>
      <c r="AK24" s="9">
        <v>124451.26</v>
      </c>
      <c r="AL24" s="9">
        <v>16796.34</v>
      </c>
    </row>
    <row r="25" spans="1:38">
      <c r="A25" s="174" t="s">
        <v>399</v>
      </c>
      <c r="B25" s="131"/>
      <c r="C25" s="131">
        <v>0</v>
      </c>
      <c r="D25" s="131"/>
      <c r="E25" s="131"/>
      <c r="G25" s="9">
        <v>144635.18</v>
      </c>
      <c r="H25" s="9">
        <v>60138.75</v>
      </c>
      <c r="I25" s="9">
        <v>40000</v>
      </c>
      <c r="J25" s="9">
        <v>1000000</v>
      </c>
      <c r="K25" s="9">
        <v>116094.45</v>
      </c>
      <c r="L25" s="9">
        <v>11440</v>
      </c>
      <c r="M25" s="9">
        <v>70000</v>
      </c>
      <c r="N25" s="9">
        <v>9044.2800000000007</v>
      </c>
      <c r="O25" s="9">
        <v>8788.2000000000007</v>
      </c>
      <c r="P25" s="9">
        <v>209863.5</v>
      </c>
      <c r="Q25" s="9">
        <v>194133</v>
      </c>
      <c r="R25" s="9">
        <v>4190000</v>
      </c>
      <c r="U25" s="9">
        <v>1.98</v>
      </c>
      <c r="V25" s="9">
        <v>15102.97</v>
      </c>
      <c r="W25" s="9">
        <v>186434.2</v>
      </c>
      <c r="X25" s="9">
        <v>55000</v>
      </c>
      <c r="Y25" s="9">
        <v>55000</v>
      </c>
      <c r="Z25" s="9">
        <v>419082.76</v>
      </c>
      <c r="AB25" s="9">
        <v>99.8</v>
      </c>
      <c r="AC25" s="9">
        <v>50299.199999999997</v>
      </c>
      <c r="AD25" s="9">
        <v>60682.2</v>
      </c>
      <c r="AE25" s="9">
        <v>93891.839999999997</v>
      </c>
      <c r="AF25" s="9">
        <v>26407.09</v>
      </c>
      <c r="AG25" s="9">
        <v>324265.38</v>
      </c>
      <c r="AH25" s="9">
        <v>10101.76</v>
      </c>
      <c r="AJ25" s="9">
        <v>22395.119999999999</v>
      </c>
      <c r="AK25" s="9">
        <v>40239.360000000001</v>
      </c>
      <c r="AL25" s="9">
        <v>34886.379999999997</v>
      </c>
    </row>
    <row r="26" spans="1:38">
      <c r="A26" s="174" t="s">
        <v>398</v>
      </c>
      <c r="B26" s="131"/>
      <c r="C26" s="131">
        <v>5462465.2199999997</v>
      </c>
      <c r="D26" s="131"/>
      <c r="E26" s="131"/>
      <c r="G26" s="9">
        <v>400000</v>
      </c>
      <c r="H26" s="9">
        <v>562898.69999999995</v>
      </c>
      <c r="I26" s="9">
        <v>38631</v>
      </c>
      <c r="J26" s="9">
        <v>1000000</v>
      </c>
      <c r="K26" s="9">
        <v>17206.2</v>
      </c>
      <c r="L26" s="9">
        <v>21780</v>
      </c>
      <c r="M26" s="9">
        <v>50000</v>
      </c>
      <c r="N26" s="9">
        <v>234274.53</v>
      </c>
      <c r="O26" s="9">
        <v>1492</v>
      </c>
      <c r="P26" s="9">
        <v>407967.85</v>
      </c>
      <c r="Q26" s="9">
        <v>57068.75</v>
      </c>
      <c r="R26" s="9">
        <v>29338.3</v>
      </c>
      <c r="U26" s="9">
        <v>602200</v>
      </c>
      <c r="V26" s="9">
        <v>42571.13</v>
      </c>
      <c r="W26" s="9">
        <v>86706.45</v>
      </c>
      <c r="X26" s="9">
        <v>59984.7</v>
      </c>
      <c r="Y26" s="9">
        <v>55000</v>
      </c>
      <c r="Z26" s="9">
        <v>215500</v>
      </c>
      <c r="AB26" s="9">
        <v>22218.75</v>
      </c>
      <c r="AC26" s="9">
        <v>10059.84</v>
      </c>
      <c r="AD26" s="9">
        <v>164359.5</v>
      </c>
      <c r="AE26" s="9">
        <v>97364.88</v>
      </c>
      <c r="AF26" s="9">
        <v>38762.32</v>
      </c>
      <c r="AG26" s="9">
        <v>34411.040000000001</v>
      </c>
      <c r="AH26" s="9">
        <v>8383.8799999999992</v>
      </c>
      <c r="AJ26" s="9">
        <v>45504</v>
      </c>
      <c r="AK26" s="9">
        <v>77948.789999999994</v>
      </c>
      <c r="AL26" s="9">
        <v>19520.88</v>
      </c>
    </row>
    <row r="27" spans="1:38">
      <c r="A27" s="174" t="s">
        <v>397</v>
      </c>
      <c r="B27" s="131"/>
      <c r="C27" s="131"/>
      <c r="D27" s="131"/>
      <c r="E27" s="131">
        <v>10000000</v>
      </c>
      <c r="G27" s="9">
        <v>300000</v>
      </c>
      <c r="H27" s="9">
        <v>35000</v>
      </c>
      <c r="I27" s="9">
        <v>73674.320000000007</v>
      </c>
      <c r="J27" s="9">
        <v>673123.47</v>
      </c>
      <c r="K27" s="9">
        <v>696195.41</v>
      </c>
      <c r="L27" s="9">
        <v>228312.57</v>
      </c>
      <c r="M27" s="9">
        <v>50000</v>
      </c>
      <c r="N27" s="9">
        <v>90534</v>
      </c>
      <c r="O27" s="9">
        <v>214621.28</v>
      </c>
      <c r="P27" s="9">
        <v>826821.9</v>
      </c>
      <c r="Q27" s="9">
        <v>516052.36</v>
      </c>
      <c r="R27" s="9">
        <v>253309.82</v>
      </c>
      <c r="U27" s="9">
        <v>94440.5</v>
      </c>
      <c r="V27" s="9">
        <v>38272.949999999997</v>
      </c>
      <c r="W27" s="9">
        <v>129433.5</v>
      </c>
      <c r="X27" s="9">
        <v>223104</v>
      </c>
      <c r="Y27" s="9">
        <v>50000</v>
      </c>
      <c r="Z27" s="9">
        <v>445576.92</v>
      </c>
      <c r="AB27" s="9">
        <v>29742.5</v>
      </c>
      <c r="AC27" s="9">
        <v>0.01</v>
      </c>
      <c r="AD27" s="9">
        <v>166699.93</v>
      </c>
      <c r="AE27" s="9">
        <v>236308.75</v>
      </c>
      <c r="AF27" s="9">
        <v>5925</v>
      </c>
      <c r="AG27" s="9">
        <v>65149.440000000002</v>
      </c>
      <c r="AH27" s="9">
        <v>8383.8799999999992</v>
      </c>
      <c r="AJ27" s="9">
        <v>14930.08</v>
      </c>
      <c r="AK27" s="9">
        <v>166844.21</v>
      </c>
      <c r="AL27" s="9">
        <v>43114.2</v>
      </c>
    </row>
    <row r="28" spans="1:38">
      <c r="A28" s="174" t="s">
        <v>396</v>
      </c>
      <c r="B28" s="131"/>
      <c r="C28" s="131"/>
      <c r="D28" s="131"/>
      <c r="E28" s="131"/>
      <c r="G28" s="9">
        <v>900000</v>
      </c>
      <c r="H28" s="9">
        <v>45000</v>
      </c>
      <c r="I28" s="9">
        <v>97971.86</v>
      </c>
      <c r="J28" s="9">
        <v>1210872.51</v>
      </c>
      <c r="K28" s="9">
        <v>682856.25</v>
      </c>
      <c r="L28" s="9">
        <v>76156</v>
      </c>
      <c r="M28" s="9">
        <v>3112200</v>
      </c>
      <c r="N28" s="9">
        <v>13211.4</v>
      </c>
      <c r="O28" s="9">
        <v>99184.5</v>
      </c>
      <c r="P28" s="9">
        <v>402200.85</v>
      </c>
      <c r="Q28" s="9">
        <v>327080.36</v>
      </c>
      <c r="R28" s="9">
        <v>150000</v>
      </c>
      <c r="U28" s="9">
        <v>80486.75</v>
      </c>
      <c r="V28" s="9">
        <v>181349.2</v>
      </c>
      <c r="W28" s="9">
        <v>5865.75</v>
      </c>
      <c r="X28" s="9">
        <v>55000</v>
      </c>
      <c r="Y28" s="9">
        <v>55000</v>
      </c>
      <c r="Z28" s="9">
        <v>167660</v>
      </c>
      <c r="AB28" s="9">
        <v>254775</v>
      </c>
      <c r="AC28" s="9">
        <v>1197.5999999999999</v>
      </c>
      <c r="AD28" s="9">
        <v>36287.279999999999</v>
      </c>
      <c r="AE28" s="9">
        <v>18130.5</v>
      </c>
      <c r="AF28" s="9">
        <v>15961.95</v>
      </c>
      <c r="AG28" s="9">
        <v>170677.96</v>
      </c>
      <c r="AH28" s="9">
        <v>69016.69</v>
      </c>
      <c r="AJ28" s="9">
        <v>15103.81</v>
      </c>
      <c r="AK28" s="9">
        <v>3439.01</v>
      </c>
      <c r="AL28" s="9">
        <v>18233.46</v>
      </c>
    </row>
    <row r="29" spans="1:38">
      <c r="A29" s="174" t="s">
        <v>423</v>
      </c>
      <c r="B29" s="131"/>
      <c r="C29" s="131"/>
      <c r="D29" s="131"/>
      <c r="E29" s="131"/>
      <c r="G29" s="9">
        <v>900000</v>
      </c>
      <c r="H29" s="9">
        <v>65000</v>
      </c>
      <c r="I29" s="9">
        <v>61679.25</v>
      </c>
      <c r="J29" s="9">
        <v>1026491.46</v>
      </c>
      <c r="K29" s="9">
        <v>466876.18</v>
      </c>
      <c r="L29" s="9">
        <v>2377695.2400000002</v>
      </c>
      <c r="M29" s="9">
        <v>1000000</v>
      </c>
      <c r="N29" s="9">
        <v>11314.08</v>
      </c>
      <c r="O29" s="9">
        <v>42840</v>
      </c>
      <c r="P29" s="9">
        <v>300000</v>
      </c>
      <c r="Q29" s="9">
        <v>530912.06999999995</v>
      </c>
      <c r="R29" s="9">
        <v>7500</v>
      </c>
      <c r="U29" s="9">
        <v>50841</v>
      </c>
      <c r="V29" s="9">
        <v>17640.7</v>
      </c>
      <c r="W29" s="9">
        <v>1989000</v>
      </c>
      <c r="X29" s="9">
        <v>60000</v>
      </c>
      <c r="Y29" s="9">
        <v>55000</v>
      </c>
      <c r="Z29" s="9">
        <v>60000</v>
      </c>
      <c r="AB29" s="9">
        <v>99.8</v>
      </c>
      <c r="AC29" s="9">
        <v>7544.88</v>
      </c>
      <c r="AD29" s="9">
        <v>145731.95000000001</v>
      </c>
      <c r="AE29" s="9">
        <v>28953.5</v>
      </c>
      <c r="AF29" s="9">
        <v>246766.35</v>
      </c>
      <c r="AG29" s="9">
        <v>112694.16</v>
      </c>
      <c r="AH29" s="9">
        <v>54929.919999999998</v>
      </c>
      <c r="AJ29" s="9">
        <v>15714</v>
      </c>
      <c r="AK29" s="9">
        <v>10713.65</v>
      </c>
      <c r="AL29" s="9">
        <v>25713.47</v>
      </c>
    </row>
    <row r="30" spans="1:38">
      <c r="A30" s="174" t="s">
        <v>422</v>
      </c>
      <c r="B30" s="131"/>
      <c r="C30" s="131"/>
      <c r="D30" s="131"/>
      <c r="E30" s="131"/>
      <c r="G30" s="9">
        <v>597850.43000000005</v>
      </c>
      <c r="H30" s="9">
        <v>60000</v>
      </c>
      <c r="I30" s="9">
        <v>50000</v>
      </c>
      <c r="J30" s="9">
        <v>800589.95</v>
      </c>
      <c r="K30" s="9">
        <v>547914.38</v>
      </c>
      <c r="L30" s="9">
        <v>642384.55000000005</v>
      </c>
      <c r="M30" s="9">
        <v>1000000</v>
      </c>
      <c r="N30" s="9">
        <v>16412.400000000001</v>
      </c>
      <c r="O30" s="9">
        <v>192172.5</v>
      </c>
      <c r="P30" s="9">
        <v>20856</v>
      </c>
      <c r="Q30" s="9">
        <v>691236.55</v>
      </c>
      <c r="R30" s="9">
        <v>582511.15</v>
      </c>
      <c r="U30" s="9">
        <v>253539.75</v>
      </c>
      <c r="V30" s="9">
        <v>30000</v>
      </c>
      <c r="W30" s="9">
        <v>250000</v>
      </c>
      <c r="X30" s="9">
        <v>1000000</v>
      </c>
      <c r="Y30" s="9">
        <v>100000</v>
      </c>
      <c r="Z30" s="9">
        <v>45000</v>
      </c>
      <c r="AB30" s="9">
        <v>15997.5</v>
      </c>
      <c r="AC30" s="9">
        <v>85438.5</v>
      </c>
      <c r="AD30" s="9">
        <v>288066.7</v>
      </c>
      <c r="AE30" s="9">
        <v>29707.95</v>
      </c>
      <c r="AF30" s="9">
        <v>210113.93</v>
      </c>
      <c r="AG30" s="9">
        <v>37090.5</v>
      </c>
      <c r="AH30" s="9">
        <v>15648.64</v>
      </c>
      <c r="AJ30" s="9">
        <v>46807.5</v>
      </c>
      <c r="AK30" s="9">
        <v>24812.5</v>
      </c>
      <c r="AL30" s="9">
        <v>247044.92</v>
      </c>
    </row>
    <row r="31" spans="1:38">
      <c r="A31" s="174" t="s">
        <v>421</v>
      </c>
      <c r="B31" s="131"/>
      <c r="C31" s="131"/>
      <c r="D31" s="131">
        <v>1700000</v>
      </c>
      <c r="E31" s="131"/>
      <c r="G31" s="9">
        <v>959581</v>
      </c>
      <c r="H31" s="9">
        <v>50000</v>
      </c>
      <c r="I31" s="9">
        <v>40000</v>
      </c>
      <c r="J31" s="9">
        <v>300000</v>
      </c>
      <c r="K31" s="9">
        <v>1000000</v>
      </c>
      <c r="L31" s="9">
        <v>646549.82999999996</v>
      </c>
      <c r="M31" s="9">
        <v>150000</v>
      </c>
      <c r="N31" s="9">
        <v>22407</v>
      </c>
      <c r="O31" s="9">
        <v>138725.54999999999</v>
      </c>
      <c r="P31" s="9">
        <v>568531.4</v>
      </c>
      <c r="Q31" s="9">
        <v>614579.81999999995</v>
      </c>
      <c r="R31" s="9">
        <v>243467.51999999999</v>
      </c>
      <c r="U31" s="9">
        <v>163620</v>
      </c>
      <c r="V31" s="9">
        <v>18040</v>
      </c>
      <c r="W31" s="9">
        <v>55000</v>
      </c>
      <c r="X31" s="9">
        <v>1000000</v>
      </c>
      <c r="Y31" s="9">
        <v>150000</v>
      </c>
      <c r="Z31" s="9">
        <v>80004</v>
      </c>
      <c r="AB31" s="9">
        <v>44191.44</v>
      </c>
      <c r="AC31" s="9">
        <v>129129.8</v>
      </c>
      <c r="AD31" s="9">
        <v>188514.21</v>
      </c>
      <c r="AE31" s="9">
        <v>65193.18</v>
      </c>
      <c r="AF31" s="9">
        <v>422389.52</v>
      </c>
      <c r="AG31" s="9">
        <v>22993.919999999998</v>
      </c>
      <c r="AH31" s="9">
        <v>55828.31</v>
      </c>
      <c r="AJ31" s="9">
        <v>60060</v>
      </c>
      <c r="AK31" s="9">
        <v>205942.29</v>
      </c>
      <c r="AL31" s="9">
        <v>161102.6</v>
      </c>
    </row>
    <row r="32" spans="1:38">
      <c r="A32" s="174" t="s">
        <v>420</v>
      </c>
      <c r="B32" s="131"/>
      <c r="C32" s="131"/>
      <c r="D32" s="131">
        <v>1840000</v>
      </c>
      <c r="E32" s="131"/>
      <c r="G32" s="9">
        <v>104556.5</v>
      </c>
      <c r="H32" s="9">
        <v>120000</v>
      </c>
      <c r="I32" s="9">
        <v>50000</v>
      </c>
      <c r="J32" s="9">
        <v>50000</v>
      </c>
      <c r="K32" s="9">
        <v>5000000</v>
      </c>
      <c r="L32" s="9">
        <v>845153.85</v>
      </c>
      <c r="M32" s="9">
        <v>13909.8</v>
      </c>
      <c r="N32" s="9">
        <v>21941.4</v>
      </c>
      <c r="O32" s="9">
        <v>20026.5</v>
      </c>
      <c r="P32" s="9">
        <v>13035</v>
      </c>
      <c r="Q32" s="9">
        <v>213721.98</v>
      </c>
      <c r="R32" s="9">
        <v>607816.93000000005</v>
      </c>
      <c r="U32" s="9">
        <v>90240</v>
      </c>
      <c r="V32" s="9">
        <v>350000</v>
      </c>
      <c r="W32" s="9">
        <v>65000</v>
      </c>
      <c r="X32" s="9">
        <v>31686.9</v>
      </c>
      <c r="Y32" s="9">
        <v>400000</v>
      </c>
      <c r="Z32" s="9">
        <v>5919.27</v>
      </c>
      <c r="AB32" s="9">
        <v>187269.5</v>
      </c>
      <c r="AC32" s="9">
        <v>108251.06</v>
      </c>
      <c r="AD32" s="9">
        <v>19650.62</v>
      </c>
      <c r="AE32" s="9">
        <v>162813.72</v>
      </c>
      <c r="AF32" s="9">
        <v>107938.69</v>
      </c>
      <c r="AG32" s="9">
        <v>94311</v>
      </c>
      <c r="AH32" s="9">
        <v>12837.5</v>
      </c>
      <c r="AJ32" s="9">
        <v>16646.64</v>
      </c>
      <c r="AK32" s="9">
        <v>39939.96</v>
      </c>
      <c r="AL32" s="9">
        <v>4466.25</v>
      </c>
    </row>
    <row r="33" spans="1:38">
      <c r="A33" s="174" t="s">
        <v>419</v>
      </c>
      <c r="B33" s="131"/>
      <c r="C33" s="131"/>
      <c r="D33" s="131">
        <v>1370000</v>
      </c>
      <c r="E33" s="131"/>
      <c r="G33" s="9">
        <v>214706.21</v>
      </c>
      <c r="H33" s="9">
        <v>281159.03000000003</v>
      </c>
      <c r="I33" s="9">
        <v>208389.17</v>
      </c>
      <c r="J33" s="9">
        <v>55000</v>
      </c>
      <c r="K33" s="9">
        <v>250000</v>
      </c>
      <c r="L33" s="9">
        <v>946446.11</v>
      </c>
      <c r="M33" s="9">
        <v>5820</v>
      </c>
      <c r="N33" s="9">
        <v>30613.200000000001</v>
      </c>
      <c r="O33" s="9">
        <v>677256.53</v>
      </c>
      <c r="P33" s="9">
        <v>152236.95000000001</v>
      </c>
      <c r="Q33" s="9">
        <v>64774.52</v>
      </c>
      <c r="R33" s="9">
        <v>488774.49</v>
      </c>
      <c r="U33" s="9">
        <v>55680</v>
      </c>
      <c r="V33" s="9">
        <v>725760</v>
      </c>
      <c r="W33" s="9">
        <v>13800</v>
      </c>
      <c r="X33" s="9">
        <v>165891.75</v>
      </c>
      <c r="Y33" s="9">
        <v>1000000</v>
      </c>
      <c r="Z33" s="9">
        <v>46706.2</v>
      </c>
      <c r="AB33" s="9">
        <v>122634.24000000001</v>
      </c>
      <c r="AC33" s="9">
        <v>89999.64</v>
      </c>
      <c r="AD33" s="9">
        <v>12679.5</v>
      </c>
      <c r="AE33" s="9">
        <v>578210.52</v>
      </c>
      <c r="AF33" s="9">
        <v>281170.88</v>
      </c>
      <c r="AG33" s="9">
        <v>37834.18</v>
      </c>
      <c r="AH33" s="9">
        <v>18130.5</v>
      </c>
      <c r="AJ33" s="9">
        <v>91985.64</v>
      </c>
      <c r="AK33" s="9">
        <v>7514.94</v>
      </c>
      <c r="AL33" s="9">
        <v>4764</v>
      </c>
    </row>
    <row r="34" spans="1:38">
      <c r="A34" s="176" t="s">
        <v>22</v>
      </c>
      <c r="B34" s="131">
        <f>SUM(B22:B33)</f>
        <v>0</v>
      </c>
      <c r="C34" s="131">
        <f t="shared" ref="C34:E34" si="0">SUM(C22:C33)</f>
        <v>193462465.22</v>
      </c>
      <c r="D34" s="131">
        <f t="shared" si="0"/>
        <v>4910000</v>
      </c>
      <c r="E34" s="131">
        <f t="shared" si="0"/>
        <v>62000000</v>
      </c>
      <c r="G34" s="9">
        <v>70000</v>
      </c>
      <c r="H34" s="9">
        <v>115731.05</v>
      </c>
      <c r="I34" s="9">
        <v>20666.400000000001</v>
      </c>
      <c r="J34" s="9">
        <v>50000</v>
      </c>
      <c r="K34" s="9">
        <v>120000</v>
      </c>
      <c r="L34" s="9">
        <v>50000</v>
      </c>
      <c r="M34" s="9">
        <v>15248.4</v>
      </c>
      <c r="N34" s="9">
        <v>141309.6</v>
      </c>
      <c r="O34" s="9">
        <v>524147.25</v>
      </c>
      <c r="P34" s="9">
        <v>317800.21999999997</v>
      </c>
      <c r="Q34" s="9">
        <v>27790</v>
      </c>
      <c r="R34" s="9">
        <v>869215.62</v>
      </c>
      <c r="U34" s="9">
        <v>88097</v>
      </c>
      <c r="V34" s="9">
        <v>1.98</v>
      </c>
      <c r="W34" s="9">
        <v>725760</v>
      </c>
      <c r="X34" s="9">
        <v>318858.2</v>
      </c>
      <c r="Y34" s="9">
        <v>1100000</v>
      </c>
      <c r="Z34" s="9">
        <v>87478.95</v>
      </c>
      <c r="AB34" s="9">
        <v>285208.44</v>
      </c>
      <c r="AC34" s="9">
        <v>19161.599999999999</v>
      </c>
      <c r="AD34" s="9">
        <v>58442.879999999997</v>
      </c>
      <c r="AE34" s="9">
        <v>134909.64000000001</v>
      </c>
      <c r="AF34" s="9">
        <v>13153.5</v>
      </c>
      <c r="AG34" s="9">
        <v>212676.28</v>
      </c>
      <c r="AH34" s="9">
        <v>120731.05</v>
      </c>
      <c r="AJ34" s="12">
        <f>SUM(AJ2:AJ33)</f>
        <v>2117397.98</v>
      </c>
      <c r="AK34" s="9">
        <v>42042.3</v>
      </c>
      <c r="AL34" s="9">
        <v>142449.53</v>
      </c>
    </row>
    <row r="35" spans="1:38">
      <c r="G35" s="9">
        <v>100000</v>
      </c>
      <c r="H35" s="9">
        <v>70000</v>
      </c>
      <c r="I35" s="9">
        <v>1068000</v>
      </c>
      <c r="J35" s="9">
        <v>45000</v>
      </c>
      <c r="K35" s="9">
        <v>68862.33</v>
      </c>
      <c r="L35" s="9">
        <v>60000</v>
      </c>
      <c r="M35" s="9">
        <v>15248.4</v>
      </c>
      <c r="N35" s="9">
        <v>5820</v>
      </c>
      <c r="O35" s="9">
        <v>688687.08</v>
      </c>
      <c r="P35" s="9">
        <v>72174.399999999994</v>
      </c>
      <c r="Q35" s="9">
        <v>345072.4</v>
      </c>
      <c r="R35" s="9">
        <v>957041.95</v>
      </c>
      <c r="U35" s="12">
        <f>SUM(U2:U34)</f>
        <v>15846683.939999999</v>
      </c>
      <c r="V35" s="9">
        <v>34210.949999999997</v>
      </c>
      <c r="W35" s="9">
        <v>16965.25</v>
      </c>
      <c r="X35" s="9">
        <v>200608.65</v>
      </c>
      <c r="Y35" s="9">
        <v>283448</v>
      </c>
      <c r="Z35" s="9">
        <v>120000</v>
      </c>
      <c r="AB35" s="9">
        <v>12585.75</v>
      </c>
      <c r="AC35" s="9">
        <v>101120</v>
      </c>
      <c r="AD35" s="9">
        <v>4088.25</v>
      </c>
      <c r="AE35" s="9">
        <v>247772.88</v>
      </c>
      <c r="AF35" s="9">
        <v>126147.2</v>
      </c>
      <c r="AG35" s="9">
        <v>174550.2</v>
      </c>
      <c r="AH35" s="9">
        <v>6986</v>
      </c>
      <c r="AK35" s="9">
        <v>6714.26</v>
      </c>
      <c r="AL35" s="9">
        <v>147384.64000000001</v>
      </c>
    </row>
    <row r="36" spans="1:38">
      <c r="B36" s="12">
        <f>B34+B16</f>
        <v>6258641.5</v>
      </c>
      <c r="C36" s="12">
        <f>C34+C16</f>
        <v>561515548.54999995</v>
      </c>
      <c r="D36" s="12">
        <f>D34+D16</f>
        <v>146490050.68000001</v>
      </c>
      <c r="E36" s="12">
        <f>E34+E16</f>
        <v>119348191.78</v>
      </c>
      <c r="G36" s="9">
        <v>40000</v>
      </c>
      <c r="H36" s="9">
        <v>55000</v>
      </c>
      <c r="I36" s="9">
        <v>67392</v>
      </c>
      <c r="J36" s="9">
        <v>27000</v>
      </c>
      <c r="K36" s="9">
        <v>93437.25</v>
      </c>
      <c r="L36" s="9">
        <v>187382.11</v>
      </c>
      <c r="M36" s="9">
        <v>30147.599999999999</v>
      </c>
      <c r="N36" s="9">
        <v>21534</v>
      </c>
      <c r="O36" s="9">
        <v>453643.68</v>
      </c>
      <c r="P36" s="9">
        <v>460986.29</v>
      </c>
      <c r="Q36" s="9">
        <v>281997.03999999998</v>
      </c>
      <c r="R36" s="9">
        <v>274582.07</v>
      </c>
      <c r="V36" s="9">
        <v>470000</v>
      </c>
      <c r="W36" s="9">
        <v>37365.5</v>
      </c>
      <c r="X36" s="9">
        <v>219842.59</v>
      </c>
      <c r="Y36" s="9">
        <v>180550.78</v>
      </c>
      <c r="Z36" s="9">
        <v>38280</v>
      </c>
      <c r="AB36" s="9">
        <v>21033.75</v>
      </c>
      <c r="AC36" s="9">
        <v>119586.25</v>
      </c>
      <c r="AD36" s="9">
        <v>336533.58</v>
      </c>
      <c r="AE36" s="9">
        <v>41916</v>
      </c>
      <c r="AF36" s="9">
        <v>24114.75</v>
      </c>
      <c r="AG36" s="9">
        <v>320542.5</v>
      </c>
      <c r="AH36" s="9">
        <v>109799.96</v>
      </c>
      <c r="AK36" s="9">
        <v>54726.45</v>
      </c>
      <c r="AL36" s="9">
        <v>18162.75</v>
      </c>
    </row>
    <row r="37" spans="1:38">
      <c r="C37" s="12"/>
      <c r="G37" s="9">
        <v>288000</v>
      </c>
      <c r="H37" s="9">
        <v>921505.45</v>
      </c>
      <c r="I37" s="9">
        <v>35000</v>
      </c>
      <c r="J37" s="9">
        <v>64800</v>
      </c>
      <c r="K37" s="9">
        <v>944680</v>
      </c>
      <c r="L37" s="9">
        <v>0.99</v>
      </c>
      <c r="M37" s="9">
        <v>340268.79999999999</v>
      </c>
      <c r="N37" s="9">
        <v>8962.7999999999993</v>
      </c>
      <c r="O37" s="9">
        <v>843830.6</v>
      </c>
      <c r="P37" s="9">
        <v>109126.65</v>
      </c>
      <c r="Q37" s="9">
        <v>49126.77</v>
      </c>
      <c r="R37" s="9">
        <v>125972.07</v>
      </c>
      <c r="V37" s="9">
        <v>6000000</v>
      </c>
      <c r="W37" s="9">
        <v>65000</v>
      </c>
      <c r="X37" s="9">
        <v>431245.25</v>
      </c>
      <c r="Y37" s="9">
        <v>98265.44</v>
      </c>
      <c r="Z37" s="9">
        <v>205000</v>
      </c>
      <c r="AB37" s="9">
        <v>44911.5</v>
      </c>
      <c r="AC37" s="9">
        <v>150264.91</v>
      </c>
      <c r="AD37" s="9">
        <v>250629.74</v>
      </c>
      <c r="AE37" s="9">
        <v>50777.25</v>
      </c>
      <c r="AF37" s="9">
        <v>101496.6</v>
      </c>
      <c r="AG37" s="9">
        <v>58208.19</v>
      </c>
      <c r="AH37" s="9">
        <v>30336</v>
      </c>
      <c r="AK37" s="9">
        <v>3473.75</v>
      </c>
      <c r="AL37" s="9">
        <v>15483</v>
      </c>
    </row>
    <row r="38" spans="1:38">
      <c r="C38" s="12"/>
      <c r="G38" s="9">
        <v>172020</v>
      </c>
      <c r="H38" s="9">
        <v>1080235.8700000001</v>
      </c>
      <c r="I38" s="9">
        <v>55000</v>
      </c>
      <c r="J38" s="9">
        <v>242764.04</v>
      </c>
      <c r="K38" s="9">
        <v>60000</v>
      </c>
      <c r="L38" s="9">
        <v>51863.5</v>
      </c>
      <c r="M38" s="9">
        <v>299305.76</v>
      </c>
      <c r="N38" s="9">
        <v>8582.56</v>
      </c>
      <c r="O38" s="9">
        <v>358000</v>
      </c>
      <c r="P38" s="9">
        <v>846163.09</v>
      </c>
      <c r="Q38" s="9">
        <v>284232.15000000002</v>
      </c>
      <c r="R38" s="9">
        <v>491517.76</v>
      </c>
      <c r="V38" s="9">
        <v>54628.5</v>
      </c>
      <c r="W38" s="9">
        <v>60000</v>
      </c>
      <c r="X38" s="9">
        <v>350000</v>
      </c>
      <c r="Y38" s="9">
        <v>215244.28</v>
      </c>
      <c r="Z38" s="9">
        <v>54714.54</v>
      </c>
      <c r="AB38" s="9">
        <v>78142.850000000006</v>
      </c>
      <c r="AC38" s="9">
        <v>349701.4</v>
      </c>
      <c r="AD38" s="9">
        <v>322322.06</v>
      </c>
      <c r="AE38" s="9">
        <v>128098.5</v>
      </c>
      <c r="AF38" s="9">
        <v>9717</v>
      </c>
      <c r="AG38" s="9">
        <v>50083.67</v>
      </c>
      <c r="AH38" s="9">
        <v>26070</v>
      </c>
      <c r="AK38" s="9">
        <v>4367</v>
      </c>
      <c r="AL38" s="9">
        <v>3000000</v>
      </c>
    </row>
    <row r="39" spans="1:38">
      <c r="G39" s="9">
        <v>65000</v>
      </c>
      <c r="H39" s="9">
        <v>1481651.44</v>
      </c>
      <c r="I39" s="9">
        <v>55000</v>
      </c>
      <c r="J39" s="9">
        <v>10072.5</v>
      </c>
      <c r="K39" s="9">
        <v>50000</v>
      </c>
      <c r="L39" s="9">
        <v>45000</v>
      </c>
      <c r="M39" s="9">
        <v>296964.95</v>
      </c>
      <c r="N39" s="9">
        <v>26015.4</v>
      </c>
      <c r="O39" s="9">
        <v>223335</v>
      </c>
      <c r="P39" s="9">
        <v>794250.2</v>
      </c>
      <c r="Q39" s="9">
        <v>100000</v>
      </c>
      <c r="R39" s="9">
        <v>54500.160000000003</v>
      </c>
      <c r="V39" s="9">
        <v>119340</v>
      </c>
      <c r="W39" s="9">
        <v>60000</v>
      </c>
      <c r="X39" s="9">
        <v>4147.5</v>
      </c>
      <c r="Y39" s="9">
        <v>33000</v>
      </c>
      <c r="Z39" s="9">
        <v>44926</v>
      </c>
      <c r="AB39" s="12">
        <f>SUM(AB2:AB38)</f>
        <v>3802536.28</v>
      </c>
      <c r="AC39" s="9">
        <v>804401.07</v>
      </c>
      <c r="AD39" s="9">
        <v>139462.65</v>
      </c>
      <c r="AE39" s="9">
        <v>24550.799999999999</v>
      </c>
      <c r="AF39" s="9">
        <v>51616.56</v>
      </c>
      <c r="AG39" s="9">
        <v>51137.52</v>
      </c>
      <c r="AH39" s="9">
        <v>40274.400000000001</v>
      </c>
      <c r="AK39" s="9">
        <v>14956.97</v>
      </c>
      <c r="AL39" s="9">
        <v>81736.2</v>
      </c>
    </row>
    <row r="40" spans="1:38">
      <c r="G40" s="9">
        <v>75000</v>
      </c>
      <c r="H40" s="9">
        <v>100000</v>
      </c>
      <c r="I40" s="9">
        <v>55000</v>
      </c>
      <c r="J40" s="9">
        <v>472542.46</v>
      </c>
      <c r="K40" s="9">
        <v>50000</v>
      </c>
      <c r="L40" s="9">
        <v>65000</v>
      </c>
      <c r="M40" s="9">
        <v>429227.62</v>
      </c>
      <c r="N40" s="9">
        <v>231434.45</v>
      </c>
      <c r="O40" s="9">
        <v>120000</v>
      </c>
      <c r="P40" s="9">
        <v>546764.93000000005</v>
      </c>
      <c r="Q40" s="9">
        <v>900000</v>
      </c>
      <c r="R40" s="9">
        <v>200000</v>
      </c>
      <c r="V40" s="9">
        <v>4804434.78</v>
      </c>
      <c r="W40" s="9">
        <v>95560</v>
      </c>
      <c r="X40" s="9">
        <v>64940</v>
      </c>
      <c r="Y40" s="9">
        <v>55000</v>
      </c>
      <c r="Z40" s="9">
        <v>1488042</v>
      </c>
      <c r="AC40" s="9">
        <v>59760.24</v>
      </c>
      <c r="AD40" s="9">
        <v>14575.5</v>
      </c>
      <c r="AE40" s="9">
        <v>74817.94</v>
      </c>
      <c r="AF40" s="9">
        <v>83137.63</v>
      </c>
      <c r="AG40" s="9">
        <v>35568.720000000001</v>
      </c>
      <c r="AH40" s="9">
        <v>34009.5</v>
      </c>
      <c r="AK40" s="9">
        <v>137947.57999999999</v>
      </c>
      <c r="AL40" s="9">
        <v>298800</v>
      </c>
    </row>
    <row r="41" spans="1:38">
      <c r="G41" s="9">
        <v>50000</v>
      </c>
      <c r="H41" s="9">
        <v>50000</v>
      </c>
      <c r="I41" s="9">
        <v>85000</v>
      </c>
      <c r="J41" s="9">
        <v>233326.5</v>
      </c>
      <c r="K41" s="9">
        <v>151845.9</v>
      </c>
      <c r="L41" s="9">
        <v>60000</v>
      </c>
      <c r="M41" s="9">
        <v>1493000</v>
      </c>
      <c r="N41" s="9">
        <v>60814.2</v>
      </c>
      <c r="O41" s="9">
        <v>82910.5</v>
      </c>
      <c r="P41" s="9">
        <v>675649.48</v>
      </c>
      <c r="Q41" s="9">
        <v>232811.74</v>
      </c>
      <c r="R41" s="9">
        <v>306415.78999999998</v>
      </c>
      <c r="V41" s="9">
        <v>44434</v>
      </c>
      <c r="W41" s="9">
        <v>87156.75</v>
      </c>
      <c r="X41" s="9">
        <v>725760</v>
      </c>
      <c r="Y41" s="9">
        <v>60000</v>
      </c>
      <c r="Z41" s="9">
        <v>1000000</v>
      </c>
      <c r="AC41" s="9">
        <v>99.8</v>
      </c>
      <c r="AD41" s="9">
        <v>28993</v>
      </c>
      <c r="AE41" s="9">
        <v>83358.83</v>
      </c>
      <c r="AF41" s="9">
        <v>10023.91</v>
      </c>
      <c r="AG41" s="12">
        <f>SUM(AG2:AG40)</f>
        <v>5409490.3300000001</v>
      </c>
      <c r="AH41" s="9">
        <v>96696</v>
      </c>
      <c r="AK41" s="9">
        <v>49902.9</v>
      </c>
      <c r="AL41" s="9">
        <v>68382.960000000006</v>
      </c>
    </row>
    <row r="42" spans="1:38">
      <c r="G42" s="9">
        <v>270513.78000000003</v>
      </c>
      <c r="H42" s="9">
        <v>50000</v>
      </c>
      <c r="I42" s="9">
        <v>661237.94999999995</v>
      </c>
      <c r="J42" s="9">
        <v>289762.13</v>
      </c>
      <c r="K42" s="9">
        <v>208129.45</v>
      </c>
      <c r="L42" s="9">
        <v>75000</v>
      </c>
      <c r="M42" s="9">
        <v>50000</v>
      </c>
      <c r="N42" s="9">
        <v>250000</v>
      </c>
      <c r="O42" s="9">
        <v>179823.75</v>
      </c>
      <c r="P42" s="9">
        <v>132709.14000000001</v>
      </c>
      <c r="Q42" s="9">
        <v>135243.01999999999</v>
      </c>
      <c r="R42" s="9">
        <v>295880.13</v>
      </c>
      <c r="V42" s="9">
        <v>196056.49</v>
      </c>
      <c r="W42" s="9">
        <v>55000</v>
      </c>
      <c r="X42" s="9">
        <v>217056.2</v>
      </c>
      <c r="Y42" s="9">
        <v>65000</v>
      </c>
      <c r="Z42" s="9">
        <v>1511000</v>
      </c>
      <c r="AC42" s="9">
        <v>17489.95</v>
      </c>
      <c r="AD42" s="9">
        <v>38868</v>
      </c>
      <c r="AE42" s="9">
        <v>118184</v>
      </c>
      <c r="AF42" s="9">
        <v>268455.83</v>
      </c>
      <c r="AH42" s="12">
        <f>SUM(AH2:AH41)</f>
        <v>1863041.0499999996</v>
      </c>
      <c r="AK42" s="9">
        <v>81166.649999999994</v>
      </c>
      <c r="AL42" s="9">
        <v>104071.44</v>
      </c>
    </row>
    <row r="43" spans="1:38">
      <c r="G43" s="9">
        <v>39435.81</v>
      </c>
      <c r="H43" s="9">
        <v>45000</v>
      </c>
      <c r="I43" s="9">
        <v>732986.71</v>
      </c>
      <c r="J43" s="9">
        <v>159554.32999999999</v>
      </c>
      <c r="K43" s="9">
        <v>1099000</v>
      </c>
      <c r="L43" s="9">
        <v>75000</v>
      </c>
      <c r="M43" s="9">
        <v>55500</v>
      </c>
      <c r="N43" s="9">
        <v>300000</v>
      </c>
      <c r="O43" s="9">
        <v>4829086.96</v>
      </c>
      <c r="P43" s="9">
        <v>19374.75</v>
      </c>
      <c r="Q43" s="9">
        <v>274078.89</v>
      </c>
      <c r="R43" s="9">
        <v>1350000</v>
      </c>
      <c r="V43" s="9">
        <v>165110</v>
      </c>
      <c r="W43" s="9">
        <v>65000</v>
      </c>
      <c r="X43" s="9">
        <v>35000</v>
      </c>
      <c r="Y43" s="9">
        <v>17720</v>
      </c>
      <c r="Z43" s="9">
        <v>179500</v>
      </c>
      <c r="AC43" s="9">
        <v>169791.73</v>
      </c>
      <c r="AD43" s="9">
        <v>41356.5</v>
      </c>
      <c r="AE43" s="9">
        <v>47065.68</v>
      </c>
      <c r="AF43" s="9">
        <v>26772</v>
      </c>
      <c r="AK43" s="9">
        <v>81282.11</v>
      </c>
      <c r="AL43" s="9">
        <v>74071.56</v>
      </c>
    </row>
    <row r="44" spans="1:38">
      <c r="G44" s="9">
        <v>50000</v>
      </c>
      <c r="H44" s="9">
        <v>50000</v>
      </c>
      <c r="I44" s="9">
        <v>471558.92</v>
      </c>
      <c r="J44" s="9">
        <v>43973.38</v>
      </c>
      <c r="K44" s="9">
        <v>55000</v>
      </c>
      <c r="L44" s="9">
        <v>60000</v>
      </c>
      <c r="M44" s="9">
        <v>50000</v>
      </c>
      <c r="N44" s="9">
        <v>34570.800000000003</v>
      </c>
      <c r="O44" s="9">
        <v>135386.25</v>
      </c>
      <c r="P44" s="9">
        <v>342883.7</v>
      </c>
      <c r="Q44" s="9">
        <v>476455.58</v>
      </c>
      <c r="R44" s="9">
        <v>344441.18</v>
      </c>
      <c r="V44" s="9">
        <v>194896.95</v>
      </c>
      <c r="W44" s="9">
        <v>60000</v>
      </c>
      <c r="X44" s="9">
        <v>24687.5</v>
      </c>
      <c r="Y44" s="9">
        <v>65000</v>
      </c>
      <c r="Z44" s="9">
        <v>183011.5</v>
      </c>
      <c r="AC44" s="9">
        <v>8946.75</v>
      </c>
      <c r="AD44" s="9">
        <v>258168.62</v>
      </c>
      <c r="AE44" s="9">
        <v>22275.360000000001</v>
      </c>
      <c r="AF44" s="9">
        <v>224236.62</v>
      </c>
      <c r="AK44" s="9">
        <v>45947.92</v>
      </c>
      <c r="AL44" s="9">
        <v>267087.75</v>
      </c>
    </row>
    <row r="45" spans="1:38">
      <c r="G45" s="9">
        <v>636757.80000000005</v>
      </c>
      <c r="H45" s="9">
        <v>60000</v>
      </c>
      <c r="I45" s="9">
        <v>595709.38</v>
      </c>
      <c r="J45" s="9">
        <v>19339.2</v>
      </c>
      <c r="K45" s="9">
        <v>65000</v>
      </c>
      <c r="L45" s="9">
        <v>65000</v>
      </c>
      <c r="M45" s="9">
        <v>50000</v>
      </c>
      <c r="N45" s="9">
        <v>9700</v>
      </c>
      <c r="O45" s="9">
        <v>106748.75</v>
      </c>
      <c r="P45" s="9">
        <v>36557.25</v>
      </c>
      <c r="Q45" s="9">
        <v>597437.36</v>
      </c>
      <c r="R45" s="9">
        <v>566600.97</v>
      </c>
      <c r="V45" s="9">
        <v>18887</v>
      </c>
      <c r="W45" s="9">
        <v>58440</v>
      </c>
      <c r="X45" s="9">
        <v>8600</v>
      </c>
      <c r="Y45" s="9">
        <v>65000</v>
      </c>
      <c r="Z45" s="9">
        <v>153166.57</v>
      </c>
      <c r="AC45" s="9">
        <v>34681</v>
      </c>
      <c r="AD45" s="9">
        <v>58756.25</v>
      </c>
      <c r="AE45" s="9">
        <v>82242.95</v>
      </c>
      <c r="AF45" s="9">
        <v>7285.4</v>
      </c>
      <c r="AK45" s="9">
        <v>64191.360000000001</v>
      </c>
      <c r="AL45" s="9">
        <v>196395.9</v>
      </c>
    </row>
    <row r="46" spans="1:38">
      <c r="G46" s="9">
        <v>919442.5</v>
      </c>
      <c r="H46" s="9">
        <v>85000</v>
      </c>
      <c r="I46" s="9">
        <v>50000</v>
      </c>
      <c r="J46" s="9">
        <v>34325.5</v>
      </c>
      <c r="K46" s="9">
        <v>65000</v>
      </c>
      <c r="L46" s="9">
        <v>250000</v>
      </c>
      <c r="M46" s="9">
        <v>121147.49</v>
      </c>
      <c r="N46" s="9">
        <v>22465.200000000001</v>
      </c>
      <c r="O46" s="9">
        <v>306702.69</v>
      </c>
      <c r="P46" s="9">
        <v>100000</v>
      </c>
      <c r="Q46" s="9">
        <v>687040.26</v>
      </c>
      <c r="R46" s="9">
        <v>1207159.23</v>
      </c>
      <c r="V46" s="9">
        <v>2844</v>
      </c>
      <c r="W46" s="9">
        <v>200293</v>
      </c>
      <c r="X46" s="9">
        <v>137252</v>
      </c>
      <c r="Y46" s="9">
        <v>77000</v>
      </c>
      <c r="Z46" s="9">
        <v>169290</v>
      </c>
      <c r="AC46" s="9">
        <v>59846.45</v>
      </c>
      <c r="AD46" s="9">
        <v>62686.5</v>
      </c>
      <c r="AE46" s="9">
        <v>41166.9</v>
      </c>
      <c r="AF46" s="9">
        <v>155308.76</v>
      </c>
      <c r="AK46" s="9">
        <v>28703.1</v>
      </c>
      <c r="AL46" s="9">
        <v>17865</v>
      </c>
    </row>
    <row r="47" spans="1:38">
      <c r="G47" s="9">
        <v>810987.35</v>
      </c>
      <c r="H47" s="9">
        <v>65000</v>
      </c>
      <c r="I47" s="9">
        <v>45000</v>
      </c>
      <c r="J47" s="9">
        <v>60000</v>
      </c>
      <c r="K47" s="9">
        <v>50000</v>
      </c>
      <c r="L47" s="9">
        <v>50000</v>
      </c>
      <c r="M47" s="9">
        <v>4740</v>
      </c>
      <c r="N47" s="9">
        <v>291</v>
      </c>
      <c r="O47" s="9">
        <v>70610.2</v>
      </c>
      <c r="P47" s="9">
        <v>350914.05</v>
      </c>
      <c r="Q47" s="9">
        <v>299405.49</v>
      </c>
      <c r="R47" s="9">
        <v>728153.58</v>
      </c>
      <c r="V47" s="9">
        <v>350000</v>
      </c>
      <c r="W47" s="9">
        <v>395529.3</v>
      </c>
      <c r="X47" s="9">
        <v>53252.5</v>
      </c>
      <c r="Y47" s="9">
        <v>1090000</v>
      </c>
      <c r="Z47" s="9">
        <v>56468.75</v>
      </c>
      <c r="AC47" s="9">
        <v>8532</v>
      </c>
      <c r="AD47" s="9">
        <v>59880</v>
      </c>
      <c r="AE47" s="9">
        <v>106531.5</v>
      </c>
      <c r="AF47" s="9">
        <v>17705.88</v>
      </c>
      <c r="AK47" s="9">
        <v>4790.3999999999996</v>
      </c>
      <c r="AL47" s="9">
        <v>88861.92</v>
      </c>
    </row>
    <row r="48" spans="1:38">
      <c r="G48" s="9">
        <v>564808.53</v>
      </c>
      <c r="H48" s="9">
        <v>55000</v>
      </c>
      <c r="I48" s="9">
        <v>40000</v>
      </c>
      <c r="J48" s="9">
        <v>55000</v>
      </c>
      <c r="K48" s="9">
        <v>135000</v>
      </c>
      <c r="L48" s="9">
        <v>207422.4</v>
      </c>
      <c r="M48" s="9">
        <v>13800</v>
      </c>
      <c r="N48" s="9">
        <v>284076.09999999998</v>
      </c>
      <c r="O48" s="9">
        <v>356021.2</v>
      </c>
      <c r="P48" s="9">
        <v>25214.15</v>
      </c>
      <c r="Q48" s="9">
        <v>34658.1</v>
      </c>
      <c r="R48" s="9">
        <v>943571.75</v>
      </c>
      <c r="V48" s="9">
        <v>156728</v>
      </c>
      <c r="W48" s="9">
        <v>578189.65</v>
      </c>
      <c r="X48" s="9">
        <v>111157.5</v>
      </c>
      <c r="Y48" s="9">
        <v>1000000</v>
      </c>
      <c r="Z48" s="9">
        <v>350000</v>
      </c>
      <c r="AC48" s="9">
        <v>24429.45</v>
      </c>
      <c r="AD48" s="9">
        <v>33053.760000000002</v>
      </c>
      <c r="AE48" s="9">
        <v>251832.25</v>
      </c>
      <c r="AF48" s="9">
        <v>53526.45</v>
      </c>
      <c r="AK48" s="9">
        <v>19041.11</v>
      </c>
      <c r="AL48" s="9">
        <v>110569.47</v>
      </c>
    </row>
    <row r="49" spans="7:38">
      <c r="G49" s="9">
        <v>75000</v>
      </c>
      <c r="H49" s="9">
        <v>54000</v>
      </c>
      <c r="I49" s="9">
        <v>35000</v>
      </c>
      <c r="J49" s="9">
        <v>170000</v>
      </c>
      <c r="K49" s="9">
        <v>60000</v>
      </c>
      <c r="L49" s="9">
        <v>210633.75</v>
      </c>
      <c r="M49" s="9">
        <v>475000</v>
      </c>
      <c r="N49" s="9">
        <v>65317.2</v>
      </c>
      <c r="O49" s="9">
        <v>465120.4</v>
      </c>
      <c r="P49" s="9">
        <v>400462.85</v>
      </c>
      <c r="Q49" s="9">
        <v>517872.61</v>
      </c>
      <c r="R49" s="9">
        <v>860414.14</v>
      </c>
      <c r="V49" s="9">
        <v>54984</v>
      </c>
      <c r="W49" s="9">
        <v>239841.25</v>
      </c>
      <c r="X49" s="9">
        <v>329079.84999999998</v>
      </c>
      <c r="Y49" s="9">
        <v>100920</v>
      </c>
      <c r="Z49" s="9">
        <v>55000</v>
      </c>
      <c r="AC49" s="9">
        <v>10538.88</v>
      </c>
      <c r="AD49" s="12">
        <f>SUM(AD2:AD48)</f>
        <v>4806746.8500000006</v>
      </c>
      <c r="AE49" s="9">
        <v>286849</v>
      </c>
      <c r="AF49" s="9">
        <v>65808.12</v>
      </c>
      <c r="AK49" s="9">
        <v>174086.13</v>
      </c>
      <c r="AL49" s="9">
        <v>17519.89</v>
      </c>
    </row>
    <row r="50" spans="7:38">
      <c r="G50" s="9">
        <v>45000</v>
      </c>
      <c r="H50" s="9">
        <v>50000</v>
      </c>
      <c r="I50" s="9">
        <v>75000</v>
      </c>
      <c r="J50" s="9">
        <v>77000</v>
      </c>
      <c r="K50" s="9">
        <v>55000</v>
      </c>
      <c r="L50" s="9">
        <v>93697.95</v>
      </c>
      <c r="M50" s="9">
        <v>441969.3</v>
      </c>
      <c r="N50" s="9">
        <v>133276.95000000001</v>
      </c>
      <c r="O50" s="9">
        <v>568863.19999999995</v>
      </c>
      <c r="P50" s="9">
        <v>107823.15</v>
      </c>
      <c r="Q50" s="9">
        <v>399719.45</v>
      </c>
      <c r="R50" s="9">
        <v>822545.39</v>
      </c>
      <c r="V50" s="12">
        <f>SUM(V2:V49)</f>
        <v>22109924.640000001</v>
      </c>
      <c r="W50" s="9">
        <v>6994.47</v>
      </c>
      <c r="X50" s="9">
        <v>119778</v>
      </c>
      <c r="Y50" s="9">
        <v>53628</v>
      </c>
      <c r="Z50" s="9">
        <v>65000</v>
      </c>
      <c r="AC50" s="9">
        <v>21122.63</v>
      </c>
      <c r="AE50" s="9">
        <v>85867.92</v>
      </c>
      <c r="AF50" s="9">
        <v>106227.12</v>
      </c>
      <c r="AK50" s="9">
        <v>53892.75</v>
      </c>
      <c r="AL50" s="9">
        <v>4091.8</v>
      </c>
    </row>
    <row r="51" spans="7:38">
      <c r="G51" s="9">
        <v>50000</v>
      </c>
      <c r="H51" s="9">
        <v>48800</v>
      </c>
      <c r="I51" s="9">
        <v>195181.35</v>
      </c>
      <c r="J51" s="9">
        <v>457080.19</v>
      </c>
      <c r="K51" s="9">
        <v>60000</v>
      </c>
      <c r="L51" s="9">
        <v>807034.38</v>
      </c>
      <c r="M51" s="9">
        <v>135682.5</v>
      </c>
      <c r="N51" s="9">
        <v>456481.75</v>
      </c>
      <c r="O51" s="9">
        <v>544310</v>
      </c>
      <c r="P51" s="12">
        <f>SUM(P2:P50)</f>
        <v>14466229.880000001</v>
      </c>
      <c r="Q51" s="9">
        <v>178459.44</v>
      </c>
      <c r="R51" s="9">
        <v>262520.21999999997</v>
      </c>
      <c r="W51" s="9">
        <v>50000</v>
      </c>
      <c r="X51" s="9">
        <v>65000</v>
      </c>
      <c r="Y51" s="9">
        <v>132141.45000000001</v>
      </c>
      <c r="Z51" s="9">
        <v>1800000</v>
      </c>
      <c r="AC51" s="9">
        <v>289783.84999999998</v>
      </c>
      <c r="AE51" s="9">
        <v>82456.759999999995</v>
      </c>
      <c r="AF51" s="9">
        <v>55481.7</v>
      </c>
      <c r="AK51" s="9">
        <v>16257.15</v>
      </c>
      <c r="AL51" s="9">
        <v>27659.57</v>
      </c>
    </row>
    <row r="52" spans="7:38">
      <c r="G52" s="9">
        <v>70000</v>
      </c>
      <c r="H52" s="9">
        <v>55000</v>
      </c>
      <c r="I52" s="9">
        <v>40000</v>
      </c>
      <c r="J52" s="9">
        <v>2000000</v>
      </c>
      <c r="K52" s="9">
        <v>65000</v>
      </c>
      <c r="L52" s="9">
        <v>50000</v>
      </c>
      <c r="M52" s="9">
        <v>276484.2</v>
      </c>
      <c r="N52" s="9">
        <v>70112.5</v>
      </c>
      <c r="O52" s="9">
        <v>500000</v>
      </c>
      <c r="Q52" s="9">
        <v>318795.90000000002</v>
      </c>
      <c r="R52" s="9">
        <v>662044.15</v>
      </c>
      <c r="W52" s="9">
        <v>50000</v>
      </c>
      <c r="X52" s="9">
        <v>5063647.83</v>
      </c>
      <c r="Y52" s="9">
        <v>55000</v>
      </c>
      <c r="Z52" s="9">
        <v>1000000</v>
      </c>
      <c r="AC52" s="9">
        <v>5925</v>
      </c>
      <c r="AE52" s="9">
        <v>90428.78</v>
      </c>
      <c r="AF52" s="9">
        <v>18502.919999999998</v>
      </c>
      <c r="AK52" s="12">
        <f>SUM(AK2:AK51)</f>
        <v>2951832.2899999996</v>
      </c>
      <c r="AL52" s="9">
        <v>120139.24</v>
      </c>
    </row>
    <row r="53" spans="7:38">
      <c r="G53" s="9">
        <v>75000</v>
      </c>
      <c r="H53" s="9">
        <v>55000</v>
      </c>
      <c r="I53" s="9">
        <v>45000</v>
      </c>
      <c r="J53" s="9">
        <v>70000</v>
      </c>
      <c r="K53" s="9">
        <v>60000</v>
      </c>
      <c r="L53" s="9">
        <v>55000</v>
      </c>
      <c r="M53" s="9">
        <v>68265.88</v>
      </c>
      <c r="N53" s="9">
        <v>38552</v>
      </c>
      <c r="O53" s="9">
        <v>72743.199999999997</v>
      </c>
      <c r="Q53" s="9">
        <v>83822.58</v>
      </c>
      <c r="R53" s="9">
        <v>57763.5</v>
      </c>
      <c r="W53" s="9">
        <v>50000</v>
      </c>
      <c r="X53" s="9">
        <v>49947.75</v>
      </c>
      <c r="Y53" s="9">
        <v>92939.7</v>
      </c>
      <c r="Z53" s="9">
        <v>43431.8</v>
      </c>
      <c r="AC53" s="9">
        <v>34957.5</v>
      </c>
      <c r="AE53" s="9">
        <v>122640.23</v>
      </c>
      <c r="AF53" s="9">
        <v>10131.75</v>
      </c>
      <c r="AL53" s="9">
        <v>35952.949999999997</v>
      </c>
    </row>
    <row r="54" spans="7:38">
      <c r="G54" s="9">
        <v>50000</v>
      </c>
      <c r="H54" s="9">
        <v>1534930.74</v>
      </c>
      <c r="I54" s="9">
        <v>45000</v>
      </c>
      <c r="J54" s="9">
        <v>848500.04</v>
      </c>
      <c r="K54" s="9">
        <v>50000</v>
      </c>
      <c r="L54" s="9">
        <v>55000</v>
      </c>
      <c r="M54" s="9">
        <v>55000</v>
      </c>
      <c r="N54" s="9">
        <v>288737.09999999998</v>
      </c>
      <c r="O54" s="9">
        <v>168170.27</v>
      </c>
      <c r="Q54" s="9">
        <v>277620.12</v>
      </c>
      <c r="R54" s="9">
        <v>836713.25</v>
      </c>
      <c r="W54" s="9">
        <v>55000</v>
      </c>
      <c r="X54" s="9">
        <v>1185</v>
      </c>
      <c r="Y54" s="9">
        <v>10957.2</v>
      </c>
      <c r="Z54" s="9">
        <v>168230.5</v>
      </c>
      <c r="AC54" s="9">
        <v>63279</v>
      </c>
      <c r="AE54" s="9">
        <v>94385.25</v>
      </c>
      <c r="AF54" s="9">
        <v>152331.75</v>
      </c>
      <c r="AL54" s="9">
        <v>79375.929999999993</v>
      </c>
    </row>
    <row r="55" spans="7:38">
      <c r="G55" s="9">
        <v>70000</v>
      </c>
      <c r="H55" s="9">
        <v>293426.74</v>
      </c>
      <c r="I55" s="9">
        <v>50000</v>
      </c>
      <c r="J55" s="9">
        <v>346636.2</v>
      </c>
      <c r="K55" s="9">
        <v>200000</v>
      </c>
      <c r="L55" s="9">
        <v>55000</v>
      </c>
      <c r="M55" s="9">
        <v>70000</v>
      </c>
      <c r="N55" s="9">
        <v>59410.559999999998</v>
      </c>
      <c r="O55" s="9">
        <v>89131.75</v>
      </c>
      <c r="Q55" s="12">
        <f>SUM(Q2:Q54)</f>
        <v>21251681.659999993</v>
      </c>
      <c r="R55" s="9">
        <v>710254.84</v>
      </c>
      <c r="W55" s="9">
        <v>100000</v>
      </c>
      <c r="X55" s="9">
        <v>70000</v>
      </c>
      <c r="Y55" s="9">
        <v>285684</v>
      </c>
      <c r="Z55" s="9">
        <v>400000</v>
      </c>
      <c r="AC55" s="9">
        <v>92373.1</v>
      </c>
      <c r="AE55" s="9">
        <v>21804</v>
      </c>
      <c r="AF55" s="9">
        <v>156168.19</v>
      </c>
      <c r="AL55" s="9">
        <v>78677.33</v>
      </c>
    </row>
    <row r="56" spans="7:38">
      <c r="G56" s="9">
        <v>150000</v>
      </c>
      <c r="H56" s="9">
        <v>570903.39</v>
      </c>
      <c r="I56" s="9">
        <v>100000</v>
      </c>
      <c r="J56" s="9">
        <v>1167744.1299999999</v>
      </c>
      <c r="K56" s="9">
        <v>60000</v>
      </c>
      <c r="L56" s="9">
        <v>50000</v>
      </c>
      <c r="M56" s="9">
        <v>109240</v>
      </c>
      <c r="N56" s="9">
        <v>15772.2</v>
      </c>
      <c r="O56" s="9">
        <v>125322.64</v>
      </c>
      <c r="R56" s="9">
        <v>932346.56</v>
      </c>
      <c r="W56" s="9">
        <v>65000</v>
      </c>
      <c r="X56" s="9">
        <v>50000</v>
      </c>
      <c r="Y56" s="9">
        <v>45000</v>
      </c>
      <c r="Z56" s="9">
        <v>53820</v>
      </c>
      <c r="AC56" s="9">
        <v>99.8</v>
      </c>
      <c r="AE56" s="9">
        <v>32670.45</v>
      </c>
      <c r="AF56" s="9">
        <v>220398.32</v>
      </c>
      <c r="AL56" s="9">
        <v>19294.2</v>
      </c>
    </row>
    <row r="57" spans="7:38">
      <c r="G57" s="9">
        <v>35000</v>
      </c>
      <c r="H57" s="9">
        <v>137104.5</v>
      </c>
      <c r="I57" s="9">
        <v>208605.44</v>
      </c>
      <c r="J57" s="9">
        <v>34814.31</v>
      </c>
      <c r="K57" s="9">
        <v>250000</v>
      </c>
      <c r="L57" s="9">
        <v>49150</v>
      </c>
      <c r="M57" s="9">
        <v>380535.1</v>
      </c>
      <c r="N57" s="9">
        <v>32242.799999999999</v>
      </c>
      <c r="O57" s="9">
        <v>1040000</v>
      </c>
      <c r="R57" s="9">
        <v>1777801.21</v>
      </c>
      <c r="W57" s="9">
        <v>55000</v>
      </c>
      <c r="X57" s="9">
        <v>60000</v>
      </c>
      <c r="Y57" s="9">
        <v>118997.48</v>
      </c>
      <c r="Z57" s="9">
        <v>157200</v>
      </c>
      <c r="AC57" s="9">
        <v>248765.47</v>
      </c>
      <c r="AE57" s="9">
        <v>236809.43</v>
      </c>
      <c r="AF57" s="9">
        <v>24979.94</v>
      </c>
      <c r="AL57" s="12">
        <f>SUM(AL2:AL56)</f>
        <v>7100220.2400000002</v>
      </c>
    </row>
    <row r="58" spans="7:38">
      <c r="G58" s="9">
        <v>386603.29</v>
      </c>
      <c r="H58" s="9">
        <v>50000</v>
      </c>
      <c r="I58" s="9">
        <v>10309.5</v>
      </c>
      <c r="J58" s="9">
        <v>654313.56000000006</v>
      </c>
      <c r="K58" s="9">
        <v>85225.2</v>
      </c>
      <c r="L58" s="9">
        <v>50000</v>
      </c>
      <c r="M58" s="9">
        <v>178737.5</v>
      </c>
      <c r="N58" s="9">
        <v>19497</v>
      </c>
      <c r="O58" s="9">
        <v>248250</v>
      </c>
      <c r="R58" s="9">
        <v>971181.1</v>
      </c>
      <c r="W58" s="9">
        <v>50000</v>
      </c>
      <c r="X58" s="9">
        <v>46500</v>
      </c>
      <c r="Y58" s="9">
        <v>19770.599999999999</v>
      </c>
      <c r="Z58" s="9">
        <v>65000</v>
      </c>
      <c r="AC58" s="9">
        <v>235807.44</v>
      </c>
      <c r="AE58" s="9">
        <v>41202.449999999997</v>
      </c>
      <c r="AF58" s="9">
        <v>164989.35999999999</v>
      </c>
    </row>
    <row r="59" spans="7:38">
      <c r="G59" s="9">
        <v>902835.72</v>
      </c>
      <c r="H59" s="9">
        <v>45000</v>
      </c>
      <c r="I59" s="9">
        <v>40000</v>
      </c>
      <c r="J59" s="9">
        <v>11139</v>
      </c>
      <c r="K59" s="9">
        <v>121034.12</v>
      </c>
      <c r="L59" s="9">
        <v>80900</v>
      </c>
      <c r="M59" s="9">
        <v>65000</v>
      </c>
      <c r="N59" s="9">
        <v>44523</v>
      </c>
      <c r="O59" s="9">
        <v>99046.25</v>
      </c>
      <c r="R59" s="9">
        <v>1320638.3700000001</v>
      </c>
      <c r="W59" s="9">
        <v>55000</v>
      </c>
      <c r="X59" s="9">
        <v>1060000</v>
      </c>
      <c r="Y59" s="9">
        <v>220000</v>
      </c>
      <c r="Z59" s="9">
        <v>2402000</v>
      </c>
      <c r="AC59" s="9">
        <v>186027.23</v>
      </c>
      <c r="AE59" s="9">
        <v>43074.75</v>
      </c>
      <c r="AF59" s="12">
        <f>SUM(AF2:AF58)</f>
        <v>7178355.4600000009</v>
      </c>
    </row>
    <row r="60" spans="7:38">
      <c r="G60" s="9">
        <v>381538.4</v>
      </c>
      <c r="H60" s="9">
        <v>50000</v>
      </c>
      <c r="I60" s="9">
        <v>45000</v>
      </c>
      <c r="J60" s="9">
        <v>865541.61</v>
      </c>
      <c r="K60" s="9">
        <v>9385.2000000000007</v>
      </c>
      <c r="L60" s="9">
        <v>50000</v>
      </c>
      <c r="M60" s="9">
        <v>50000</v>
      </c>
      <c r="N60" s="9">
        <v>24094.799999999999</v>
      </c>
      <c r="O60" s="9">
        <v>174100.2</v>
      </c>
      <c r="R60" s="9">
        <v>427435.02</v>
      </c>
      <c r="W60" s="9">
        <v>300000</v>
      </c>
      <c r="X60" s="9">
        <v>150000</v>
      </c>
      <c r="Y60" s="9">
        <v>187260</v>
      </c>
      <c r="Z60" s="9">
        <v>25508</v>
      </c>
      <c r="AC60" s="9">
        <v>54036</v>
      </c>
      <c r="AE60" s="9">
        <v>260641.67</v>
      </c>
    </row>
    <row r="61" spans="7:38">
      <c r="G61" s="9">
        <v>35000</v>
      </c>
      <c r="H61" s="9">
        <v>174688.75</v>
      </c>
      <c r="I61" s="9">
        <v>45000</v>
      </c>
      <c r="J61" s="9">
        <v>50000</v>
      </c>
      <c r="K61" s="9">
        <v>91967.85</v>
      </c>
      <c r="L61" s="9">
        <v>60000</v>
      </c>
      <c r="M61" s="9">
        <v>50000</v>
      </c>
      <c r="N61" s="9">
        <v>48468.959999999999</v>
      </c>
      <c r="O61" s="9">
        <v>70898.55</v>
      </c>
      <c r="R61" s="9">
        <v>218441.31</v>
      </c>
      <c r="W61" s="9">
        <v>108701.63</v>
      </c>
      <c r="X61" s="9">
        <v>300000</v>
      </c>
      <c r="Y61" s="9">
        <v>363742.88</v>
      </c>
      <c r="Z61" s="9">
        <v>285000</v>
      </c>
      <c r="AC61" s="9">
        <v>103619.23</v>
      </c>
      <c r="AE61" s="9">
        <v>47577.75</v>
      </c>
    </row>
    <row r="62" spans="7:38">
      <c r="G62" s="9">
        <v>55000</v>
      </c>
      <c r="H62" s="9">
        <v>120141.23</v>
      </c>
      <c r="I62" s="9">
        <v>227047.98</v>
      </c>
      <c r="J62" s="9">
        <v>55000</v>
      </c>
      <c r="K62" s="9">
        <v>40000</v>
      </c>
      <c r="L62" s="9">
        <v>55000</v>
      </c>
      <c r="M62" s="9">
        <v>28285.200000000001</v>
      </c>
      <c r="N62" s="9">
        <v>36142.199999999997</v>
      </c>
      <c r="O62" s="9">
        <v>387929.5</v>
      </c>
      <c r="R62" s="9">
        <v>1400000</v>
      </c>
      <c r="W62" s="9">
        <v>93342.45</v>
      </c>
      <c r="X62" s="9">
        <v>279436.90000000002</v>
      </c>
      <c r="Y62" s="9">
        <v>55000</v>
      </c>
      <c r="Z62" s="9">
        <v>99061.45</v>
      </c>
      <c r="AC62" s="9">
        <v>556152.12</v>
      </c>
      <c r="AE62" s="9">
        <v>222899.7</v>
      </c>
    </row>
    <row r="63" spans="7:38">
      <c r="G63" s="9">
        <v>60000</v>
      </c>
      <c r="H63" s="9">
        <v>100000</v>
      </c>
      <c r="I63" s="9">
        <v>132186.75</v>
      </c>
      <c r="J63" s="9">
        <v>55000</v>
      </c>
      <c r="K63" s="9">
        <v>60000</v>
      </c>
      <c r="L63" s="9">
        <v>50000</v>
      </c>
      <c r="M63" s="9">
        <v>10534.4</v>
      </c>
      <c r="N63" s="9">
        <v>13560.6</v>
      </c>
      <c r="O63" s="9">
        <v>267209.59999999998</v>
      </c>
      <c r="R63" s="9">
        <v>945397.94</v>
      </c>
      <c r="W63" s="9">
        <v>76900</v>
      </c>
      <c r="X63" s="9">
        <v>27373.5</v>
      </c>
      <c r="Y63" s="9">
        <v>87200</v>
      </c>
      <c r="Z63" s="9">
        <v>4545.6499999999996</v>
      </c>
      <c r="AC63" s="9">
        <v>60478.8</v>
      </c>
      <c r="AE63" s="9">
        <v>181492.28</v>
      </c>
    </row>
    <row r="64" spans="7:38">
      <c r="G64" s="9">
        <v>35000</v>
      </c>
      <c r="H64" s="9">
        <v>55000</v>
      </c>
      <c r="I64" s="9">
        <v>50000</v>
      </c>
      <c r="J64" s="9">
        <v>50000</v>
      </c>
      <c r="K64" s="9">
        <v>60000</v>
      </c>
      <c r="L64" s="9">
        <v>71300</v>
      </c>
      <c r="M64" s="9">
        <v>30031.200000000001</v>
      </c>
      <c r="N64" s="9">
        <v>10708.8</v>
      </c>
      <c r="O64" s="9">
        <v>262362.95</v>
      </c>
      <c r="R64" s="9">
        <v>280471.77</v>
      </c>
      <c r="W64" s="9">
        <v>60000</v>
      </c>
      <c r="X64" s="9">
        <v>26592.5</v>
      </c>
      <c r="Y64" s="9">
        <v>166651</v>
      </c>
      <c r="Z64" s="9">
        <v>105000</v>
      </c>
      <c r="AC64" s="9">
        <v>37979.54</v>
      </c>
      <c r="AE64" s="9">
        <v>38383.08</v>
      </c>
    </row>
    <row r="65" spans="7:31">
      <c r="G65" s="9">
        <v>75000</v>
      </c>
      <c r="H65" s="9">
        <v>491104.41</v>
      </c>
      <c r="I65" s="9">
        <v>50000</v>
      </c>
      <c r="J65" s="9">
        <v>60000</v>
      </c>
      <c r="K65" s="9">
        <v>50000</v>
      </c>
      <c r="L65" s="9">
        <v>70000</v>
      </c>
      <c r="M65" s="9">
        <v>8194.56</v>
      </c>
      <c r="N65" s="9">
        <v>12187.08</v>
      </c>
      <c r="O65" s="9">
        <v>356708.7</v>
      </c>
      <c r="R65" s="12">
        <f>SUM(R2:R64)</f>
        <v>46197242.670000009</v>
      </c>
      <c r="W65" s="9">
        <v>161251.63</v>
      </c>
      <c r="X65" s="9">
        <v>61009.75</v>
      </c>
      <c r="Y65" s="9">
        <v>344953.3</v>
      </c>
      <c r="Z65" s="9">
        <v>50000</v>
      </c>
      <c r="AC65" s="9">
        <v>53412.959999999999</v>
      </c>
      <c r="AE65" s="9">
        <v>57117</v>
      </c>
    </row>
    <row r="66" spans="7:31">
      <c r="G66" s="9">
        <v>30000</v>
      </c>
      <c r="H66" s="9">
        <v>83980.95</v>
      </c>
      <c r="I66" s="9">
        <v>326417.14</v>
      </c>
      <c r="J66" s="9">
        <v>75000</v>
      </c>
      <c r="K66" s="9">
        <v>45000</v>
      </c>
      <c r="L66" s="9">
        <v>1000000</v>
      </c>
      <c r="M66" s="9">
        <v>15364.8</v>
      </c>
      <c r="N66" s="9">
        <v>15970.08</v>
      </c>
      <c r="O66" s="9">
        <v>23583.48</v>
      </c>
      <c r="W66" s="9">
        <v>36270.879999999997</v>
      </c>
      <c r="X66" s="9">
        <v>355997</v>
      </c>
      <c r="Y66" s="9">
        <v>65000</v>
      </c>
      <c r="Z66" s="9">
        <v>70000</v>
      </c>
      <c r="AC66" s="9">
        <v>27022.81</v>
      </c>
      <c r="AE66" s="9">
        <v>39223.5</v>
      </c>
    </row>
    <row r="67" spans="7:31">
      <c r="G67" s="9">
        <v>500000</v>
      </c>
      <c r="H67" s="9">
        <v>60000</v>
      </c>
      <c r="I67" s="9">
        <v>70626</v>
      </c>
      <c r="J67" s="9">
        <v>50000</v>
      </c>
      <c r="K67" s="9">
        <v>768562.8</v>
      </c>
      <c r="L67" s="9">
        <v>1500000</v>
      </c>
      <c r="M67" s="9">
        <v>10708.8</v>
      </c>
      <c r="N67" s="9">
        <v>38453.25</v>
      </c>
      <c r="O67" s="12">
        <f>SUM(O2:O66)</f>
        <v>21713921.309999999</v>
      </c>
      <c r="W67" s="9">
        <v>251560</v>
      </c>
      <c r="X67" s="9">
        <v>158582.5</v>
      </c>
      <c r="Y67" s="9">
        <v>68092</v>
      </c>
      <c r="Z67" s="9">
        <v>55000</v>
      </c>
      <c r="AC67" s="9">
        <v>198460.35</v>
      </c>
      <c r="AE67" s="9">
        <v>104872.5</v>
      </c>
    </row>
    <row r="68" spans="7:31">
      <c r="G68" s="9">
        <v>291725.28000000003</v>
      </c>
      <c r="H68" s="9">
        <v>65000</v>
      </c>
      <c r="I68" s="9">
        <v>60000</v>
      </c>
      <c r="J68" s="9">
        <v>60000</v>
      </c>
      <c r="K68" s="9">
        <v>630435.80000000005</v>
      </c>
      <c r="L68" s="9">
        <v>45000</v>
      </c>
      <c r="M68" s="9">
        <v>5238</v>
      </c>
      <c r="N68" s="9">
        <v>12501.75</v>
      </c>
      <c r="W68" s="9">
        <v>2000000</v>
      </c>
      <c r="X68" s="9">
        <v>250000</v>
      </c>
      <c r="Y68" s="9">
        <v>120000</v>
      </c>
      <c r="Z68" s="9">
        <v>55000</v>
      </c>
      <c r="AC68" s="9">
        <v>87664.320000000007</v>
      </c>
      <c r="AE68" s="9">
        <v>225205.28</v>
      </c>
    </row>
    <row r="69" spans="7:31">
      <c r="G69" s="9">
        <v>42561.25</v>
      </c>
      <c r="H69" s="9">
        <v>65000</v>
      </c>
      <c r="I69" s="9">
        <v>50000</v>
      </c>
      <c r="J69" s="9">
        <v>65000</v>
      </c>
      <c r="K69" s="9">
        <v>634946.31000000006</v>
      </c>
      <c r="L69" s="9">
        <v>150000</v>
      </c>
      <c r="M69" s="9">
        <v>2425</v>
      </c>
      <c r="N69" s="9">
        <v>29980</v>
      </c>
      <c r="W69" s="9">
        <v>65000</v>
      </c>
      <c r="X69" s="9">
        <v>50000</v>
      </c>
      <c r="Y69" s="9">
        <v>33060</v>
      </c>
      <c r="Z69" s="9">
        <v>50000</v>
      </c>
      <c r="AC69" s="9">
        <v>12763.44</v>
      </c>
      <c r="AE69" s="9">
        <v>314136</v>
      </c>
    </row>
    <row r="70" spans="7:31">
      <c r="G70" s="9">
        <v>60555</v>
      </c>
      <c r="H70" s="9">
        <v>355875</v>
      </c>
      <c r="I70" s="9">
        <v>50000</v>
      </c>
      <c r="J70" s="9">
        <v>75500</v>
      </c>
      <c r="K70" s="9">
        <v>60000</v>
      </c>
      <c r="L70" s="9">
        <v>45000</v>
      </c>
      <c r="M70" s="9">
        <v>3492</v>
      </c>
      <c r="N70" s="9">
        <v>500000</v>
      </c>
      <c r="W70" s="9">
        <v>44544</v>
      </c>
      <c r="X70" s="9">
        <v>50000</v>
      </c>
      <c r="Y70" s="9">
        <v>23907.8</v>
      </c>
      <c r="Z70" s="9">
        <v>3623869.57</v>
      </c>
      <c r="AC70" s="9">
        <v>41593.5</v>
      </c>
      <c r="AE70" s="9">
        <v>133712.04</v>
      </c>
    </row>
    <row r="71" spans="7:31">
      <c r="G71" s="9">
        <v>421000</v>
      </c>
      <c r="H71" s="9">
        <v>50000</v>
      </c>
      <c r="I71" s="9">
        <v>60000</v>
      </c>
      <c r="J71" s="9">
        <v>73470</v>
      </c>
      <c r="K71" s="9">
        <v>55000</v>
      </c>
      <c r="L71" s="9">
        <v>15132</v>
      </c>
      <c r="M71" s="9">
        <v>38062.800000000003</v>
      </c>
      <c r="N71" s="9">
        <v>1000000</v>
      </c>
      <c r="W71" s="9">
        <v>20000</v>
      </c>
      <c r="X71" s="9">
        <v>60000</v>
      </c>
      <c r="Y71" s="9">
        <v>3910.5</v>
      </c>
      <c r="Z71" s="9">
        <v>30688.1</v>
      </c>
      <c r="AC71" s="9">
        <v>89700.24</v>
      </c>
      <c r="AE71" s="9">
        <v>168222.88</v>
      </c>
    </row>
    <row r="72" spans="7:31">
      <c r="G72" s="9">
        <v>70000</v>
      </c>
      <c r="H72" s="9">
        <v>60000</v>
      </c>
      <c r="I72" s="9">
        <v>179470</v>
      </c>
      <c r="J72" s="9">
        <v>307926.2</v>
      </c>
      <c r="K72" s="9">
        <v>60000</v>
      </c>
      <c r="L72" s="9">
        <v>13665.36</v>
      </c>
      <c r="M72" s="9">
        <v>11174.4</v>
      </c>
      <c r="N72" s="9">
        <v>68656.5</v>
      </c>
      <c r="W72" s="9">
        <v>50000</v>
      </c>
      <c r="X72" s="9">
        <v>60000</v>
      </c>
      <c r="Y72" s="9">
        <v>44364.75</v>
      </c>
      <c r="Z72" s="9">
        <v>52371.5</v>
      </c>
      <c r="AC72" s="9">
        <v>13390.5</v>
      </c>
      <c r="AE72" s="9">
        <v>26526.84</v>
      </c>
    </row>
    <row r="73" spans="7:31">
      <c r="G73" s="9">
        <v>65000</v>
      </c>
      <c r="H73" s="9">
        <v>1709673.72</v>
      </c>
      <c r="I73" s="9">
        <v>60000</v>
      </c>
      <c r="J73" s="9">
        <v>65000</v>
      </c>
      <c r="K73" s="9">
        <v>55000</v>
      </c>
      <c r="L73" s="9">
        <v>14806.08</v>
      </c>
      <c r="M73" s="9">
        <v>6790</v>
      </c>
      <c r="N73" s="9">
        <v>197297.1</v>
      </c>
      <c r="W73" s="9">
        <v>178420</v>
      </c>
      <c r="X73" s="9">
        <v>30000</v>
      </c>
      <c r="Y73" s="9">
        <v>71612.5</v>
      </c>
      <c r="Z73" s="9">
        <v>60000</v>
      </c>
      <c r="AC73" s="9">
        <v>3685.03</v>
      </c>
      <c r="AE73" s="9">
        <v>60239.28</v>
      </c>
    </row>
    <row r="74" spans="7:31">
      <c r="G74" s="9">
        <v>385942.66</v>
      </c>
      <c r="H74" s="9">
        <v>935937.7</v>
      </c>
      <c r="I74" s="9">
        <v>60000</v>
      </c>
      <c r="J74" s="9">
        <v>65000</v>
      </c>
      <c r="K74" s="9">
        <v>55000</v>
      </c>
      <c r="L74" s="9">
        <v>25084.2</v>
      </c>
      <c r="M74" s="9">
        <v>9626.2800000000007</v>
      </c>
      <c r="N74" s="9">
        <v>105277.38</v>
      </c>
      <c r="W74" s="9">
        <v>794675</v>
      </c>
      <c r="X74" s="9">
        <v>50000</v>
      </c>
      <c r="Y74" s="9">
        <v>92527.5</v>
      </c>
      <c r="Z74" s="9">
        <v>55000</v>
      </c>
      <c r="AC74" s="9">
        <v>22310</v>
      </c>
      <c r="AE74" s="9">
        <v>82738.19</v>
      </c>
    </row>
    <row r="75" spans="7:31">
      <c r="G75" s="9">
        <v>50000</v>
      </c>
      <c r="H75" s="9">
        <v>938665.6</v>
      </c>
      <c r="I75" s="9">
        <v>382946.59</v>
      </c>
      <c r="J75" s="9">
        <v>429698.78</v>
      </c>
      <c r="K75" s="9">
        <v>50000</v>
      </c>
      <c r="L75" s="9">
        <v>15714</v>
      </c>
      <c r="M75" s="9">
        <v>7760</v>
      </c>
      <c r="N75" s="9">
        <v>0.99</v>
      </c>
      <c r="W75" s="9">
        <v>90489</v>
      </c>
      <c r="X75" s="9">
        <v>16187.1</v>
      </c>
      <c r="Y75" s="9">
        <v>281418.5</v>
      </c>
      <c r="Z75" s="9">
        <v>70000</v>
      </c>
      <c r="AC75" s="9">
        <v>46187.75</v>
      </c>
      <c r="AE75" s="9">
        <v>101133.33</v>
      </c>
    </row>
    <row r="76" spans="7:31">
      <c r="G76" s="9">
        <v>760604.1</v>
      </c>
      <c r="H76" s="9">
        <v>1192807.18</v>
      </c>
      <c r="I76" s="9">
        <v>407037.63</v>
      </c>
      <c r="J76" s="9">
        <v>51350</v>
      </c>
      <c r="K76" s="9">
        <v>60000</v>
      </c>
      <c r="L76" s="9">
        <v>4850</v>
      </c>
      <c r="M76" s="9">
        <v>11081.28</v>
      </c>
      <c r="N76" s="9">
        <v>34269.9</v>
      </c>
      <c r="W76" s="9">
        <v>573872.44999999995</v>
      </c>
      <c r="X76" s="9">
        <v>41520</v>
      </c>
      <c r="Y76" s="9">
        <v>3914217.39</v>
      </c>
      <c r="Z76" s="9">
        <v>55000</v>
      </c>
      <c r="AC76" s="9">
        <v>124789.92</v>
      </c>
      <c r="AE76" s="9">
        <v>1</v>
      </c>
    </row>
    <row r="77" spans="7:31">
      <c r="G77" s="9">
        <v>992767.33</v>
      </c>
      <c r="H77" s="9">
        <v>50000</v>
      </c>
      <c r="I77" s="9">
        <v>1076397.6200000001</v>
      </c>
      <c r="J77" s="9">
        <v>75000</v>
      </c>
      <c r="K77" s="9">
        <v>59184.83</v>
      </c>
      <c r="L77" s="9">
        <v>8089.8</v>
      </c>
      <c r="M77" s="9">
        <v>55000</v>
      </c>
      <c r="N77" s="9">
        <v>1000000</v>
      </c>
      <c r="W77" s="9">
        <v>526916</v>
      </c>
      <c r="X77" s="9">
        <v>250000</v>
      </c>
      <c r="Y77" s="9">
        <v>60000</v>
      </c>
      <c r="Z77" s="9">
        <v>50000</v>
      </c>
      <c r="AC77" s="9">
        <v>443591.04</v>
      </c>
      <c r="AE77" s="9">
        <v>77720.2</v>
      </c>
    </row>
    <row r="78" spans="7:31">
      <c r="G78" s="9">
        <v>861331.53</v>
      </c>
      <c r="H78" s="9">
        <v>50000</v>
      </c>
      <c r="I78" s="9">
        <v>606192.68000000005</v>
      </c>
      <c r="J78" s="9">
        <v>65000</v>
      </c>
      <c r="K78" s="9">
        <v>39934.5</v>
      </c>
      <c r="L78" s="9">
        <v>10732.08</v>
      </c>
      <c r="M78" s="9">
        <v>50000</v>
      </c>
      <c r="N78" s="9">
        <v>15049.5</v>
      </c>
      <c r="W78" s="9">
        <v>391101.35</v>
      </c>
      <c r="X78" s="9">
        <v>5811.44</v>
      </c>
      <c r="Y78" s="9">
        <v>50000</v>
      </c>
      <c r="Z78" s="9">
        <v>50000</v>
      </c>
      <c r="AC78" s="9">
        <v>16646.64</v>
      </c>
      <c r="AE78" s="9">
        <v>51384.56</v>
      </c>
    </row>
    <row r="79" spans="7:31">
      <c r="G79" s="9">
        <v>801319.71</v>
      </c>
      <c r="H79" s="9">
        <v>50000</v>
      </c>
      <c r="I79" s="9">
        <v>50000</v>
      </c>
      <c r="J79" s="9">
        <v>65000</v>
      </c>
      <c r="K79" s="9">
        <v>705500</v>
      </c>
      <c r="L79" s="9">
        <v>14550</v>
      </c>
      <c r="M79" s="9">
        <v>465735.23</v>
      </c>
      <c r="N79" s="9">
        <v>51014.25</v>
      </c>
      <c r="W79" s="9">
        <v>23427.45</v>
      </c>
      <c r="X79" s="9">
        <v>17720</v>
      </c>
      <c r="Y79" s="9">
        <v>149203.25</v>
      </c>
      <c r="Z79" s="9">
        <v>50000</v>
      </c>
      <c r="AC79" s="9">
        <v>68967</v>
      </c>
      <c r="AE79" s="9">
        <v>64108.5</v>
      </c>
    </row>
    <row r="80" spans="7:31">
      <c r="G80" s="9">
        <v>50000</v>
      </c>
      <c r="H80" s="9">
        <v>65000</v>
      </c>
      <c r="I80" s="9">
        <v>60000</v>
      </c>
      <c r="J80" s="9">
        <v>65000</v>
      </c>
      <c r="K80" s="9">
        <v>75000</v>
      </c>
      <c r="L80" s="9">
        <v>9680.6</v>
      </c>
      <c r="M80" s="9">
        <v>359501.35</v>
      </c>
      <c r="N80" s="9">
        <v>10000</v>
      </c>
      <c r="W80" s="9">
        <v>41980</v>
      </c>
      <c r="X80" s="9">
        <v>55000</v>
      </c>
      <c r="Y80" s="9">
        <v>55000</v>
      </c>
      <c r="Z80" s="9">
        <v>230000</v>
      </c>
      <c r="AC80" s="9">
        <v>14220</v>
      </c>
      <c r="AE80" s="9">
        <v>100171.02</v>
      </c>
    </row>
    <row r="81" spans="7:31">
      <c r="G81" s="9">
        <v>50000</v>
      </c>
      <c r="H81" s="9">
        <v>65000</v>
      </c>
      <c r="I81" s="9">
        <v>50000</v>
      </c>
      <c r="J81" s="9">
        <v>70000</v>
      </c>
      <c r="K81" s="9">
        <v>27000</v>
      </c>
      <c r="L81" s="9">
        <v>18589.080000000002</v>
      </c>
      <c r="M81" s="9">
        <v>772898.79</v>
      </c>
      <c r="N81" s="9">
        <v>1857250</v>
      </c>
      <c r="W81" s="9">
        <v>50000</v>
      </c>
      <c r="X81" s="9">
        <v>50000</v>
      </c>
      <c r="Y81" s="9">
        <v>65000</v>
      </c>
      <c r="Z81" s="9">
        <v>121503</v>
      </c>
      <c r="AC81" s="9">
        <v>34920</v>
      </c>
      <c r="AE81" s="9">
        <v>17162.75</v>
      </c>
    </row>
    <row r="82" spans="7:31">
      <c r="G82" s="9">
        <v>40000</v>
      </c>
      <c r="H82" s="9">
        <v>124750.88</v>
      </c>
      <c r="I82" s="9">
        <v>50000</v>
      </c>
      <c r="J82" s="9">
        <v>6172082.6100000003</v>
      </c>
      <c r="K82" s="9">
        <v>20846.13</v>
      </c>
      <c r="L82" s="9">
        <v>24793.200000000001</v>
      </c>
      <c r="M82" s="9">
        <v>65000</v>
      </c>
      <c r="N82" s="9">
        <v>24470.25</v>
      </c>
      <c r="W82" s="9">
        <v>300000</v>
      </c>
      <c r="X82" s="9">
        <v>62000</v>
      </c>
      <c r="Y82" s="9">
        <v>15910.7</v>
      </c>
      <c r="Z82" s="9">
        <v>208233.5</v>
      </c>
      <c r="AC82" s="9">
        <v>288156.78000000003</v>
      </c>
      <c r="AE82" s="9">
        <v>28775.7</v>
      </c>
    </row>
    <row r="83" spans="7:31">
      <c r="G83" s="9">
        <v>50000</v>
      </c>
      <c r="H83" s="9">
        <v>6680.44</v>
      </c>
      <c r="I83" s="9">
        <v>50000</v>
      </c>
      <c r="J83" s="9">
        <v>725760</v>
      </c>
      <c r="K83" s="9">
        <v>251158.78</v>
      </c>
      <c r="L83" s="9">
        <v>24444</v>
      </c>
      <c r="M83" s="9">
        <v>50000</v>
      </c>
      <c r="N83" s="9">
        <v>54806.25</v>
      </c>
      <c r="W83" s="9">
        <v>100000</v>
      </c>
      <c r="X83" s="9">
        <v>350000</v>
      </c>
      <c r="Y83" s="9">
        <v>2757592</v>
      </c>
      <c r="Z83" s="9">
        <v>141867.95000000001</v>
      </c>
      <c r="AC83" s="9">
        <v>170478.36</v>
      </c>
      <c r="AE83" s="9">
        <v>222515.63</v>
      </c>
    </row>
    <row r="84" spans="7:31">
      <c r="G84" s="9">
        <v>65000</v>
      </c>
      <c r="H84" s="9">
        <v>134124.23000000001</v>
      </c>
      <c r="I84" s="9">
        <v>50000</v>
      </c>
      <c r="J84" s="9">
        <v>55000</v>
      </c>
      <c r="K84" s="9">
        <v>65000</v>
      </c>
      <c r="L84" s="9">
        <v>39285</v>
      </c>
      <c r="M84" s="9">
        <v>65000</v>
      </c>
      <c r="N84" s="9">
        <v>24793.200000000001</v>
      </c>
      <c r="W84" s="9">
        <v>50000</v>
      </c>
      <c r="X84" s="9">
        <v>2000000</v>
      </c>
      <c r="Y84" s="9">
        <v>3004000</v>
      </c>
      <c r="Z84" s="9">
        <v>593649.88</v>
      </c>
      <c r="AC84" s="9">
        <v>24850.2</v>
      </c>
      <c r="AE84" s="9">
        <v>111504.54</v>
      </c>
    </row>
    <row r="85" spans="7:31">
      <c r="G85" s="9">
        <v>100000</v>
      </c>
      <c r="H85" s="9">
        <v>63950.5</v>
      </c>
      <c r="I85" s="9">
        <v>60000</v>
      </c>
      <c r="J85" s="9">
        <v>218948.5</v>
      </c>
      <c r="K85" s="9">
        <v>128402.65</v>
      </c>
      <c r="L85" s="9">
        <v>35967.599999999999</v>
      </c>
      <c r="M85" s="9">
        <v>60000</v>
      </c>
      <c r="N85" s="9">
        <v>35967.599999999999</v>
      </c>
      <c r="W85" s="9">
        <v>60000</v>
      </c>
      <c r="X85" s="9">
        <v>61408</v>
      </c>
      <c r="Y85" s="9">
        <v>263941.5</v>
      </c>
      <c r="Z85" s="9">
        <v>42742.5</v>
      </c>
      <c r="AC85" s="9">
        <v>565267.19999999995</v>
      </c>
      <c r="AE85" s="9">
        <v>50359.08</v>
      </c>
    </row>
    <row r="86" spans="7:31">
      <c r="G86" s="9">
        <v>50000</v>
      </c>
      <c r="H86" s="9">
        <v>675000</v>
      </c>
      <c r="I86" s="9">
        <v>60000</v>
      </c>
      <c r="J86" s="9">
        <v>101578.2</v>
      </c>
      <c r="K86" s="9">
        <v>488954.7</v>
      </c>
      <c r="L86" s="9">
        <v>20858.88</v>
      </c>
      <c r="M86" s="9">
        <v>50000</v>
      </c>
      <c r="N86" s="9">
        <v>226.13</v>
      </c>
      <c r="W86" s="9">
        <v>97344</v>
      </c>
      <c r="X86" s="9">
        <v>250000</v>
      </c>
      <c r="Y86" s="9">
        <v>13864.5</v>
      </c>
      <c r="Z86" s="9">
        <v>67000</v>
      </c>
      <c r="AC86" s="9">
        <v>17983.8</v>
      </c>
      <c r="AE86" s="9">
        <v>270107.7</v>
      </c>
    </row>
    <row r="87" spans="7:31">
      <c r="G87" s="9">
        <v>50000</v>
      </c>
      <c r="H87" s="9">
        <v>725760</v>
      </c>
      <c r="I87" s="9">
        <v>50000</v>
      </c>
      <c r="J87" s="9">
        <v>224000</v>
      </c>
      <c r="K87" s="9">
        <v>49260</v>
      </c>
      <c r="L87" s="9">
        <v>16645.2</v>
      </c>
      <c r="M87" s="9">
        <v>60000</v>
      </c>
      <c r="N87" s="9">
        <v>402525.76</v>
      </c>
      <c r="W87" s="9">
        <v>50000</v>
      </c>
      <c r="X87" s="9">
        <v>67307.7</v>
      </c>
      <c r="Y87" s="9">
        <v>70552.95</v>
      </c>
      <c r="Z87" s="9">
        <v>76000</v>
      </c>
      <c r="AC87" s="9">
        <v>46277.56</v>
      </c>
      <c r="AE87" s="9">
        <v>24311.279999999999</v>
      </c>
    </row>
    <row r="88" spans="7:31">
      <c r="G88" s="9">
        <v>35000</v>
      </c>
      <c r="H88" s="9">
        <v>374163.83</v>
      </c>
      <c r="I88" s="9">
        <v>50000</v>
      </c>
      <c r="J88" s="9">
        <v>8580</v>
      </c>
      <c r="K88" s="9">
        <v>54213.75</v>
      </c>
      <c r="L88" s="9">
        <v>6790</v>
      </c>
      <c r="M88" s="9">
        <v>50000</v>
      </c>
      <c r="N88" s="9">
        <v>1264842.5900000001</v>
      </c>
      <c r="W88" s="9">
        <v>50000</v>
      </c>
      <c r="X88" s="9">
        <v>50718</v>
      </c>
      <c r="Y88" s="9">
        <v>128052.35</v>
      </c>
      <c r="Z88" s="9">
        <v>8337</v>
      </c>
      <c r="AC88" s="9">
        <v>113142.74</v>
      </c>
      <c r="AE88" s="12">
        <f>SUM(AE2:AE87)</f>
        <v>9283803.9900000002</v>
      </c>
    </row>
    <row r="89" spans="7:31">
      <c r="G89" s="9">
        <v>25000</v>
      </c>
      <c r="H89" s="9">
        <v>167069.63</v>
      </c>
      <c r="I89" s="9">
        <v>50000</v>
      </c>
      <c r="J89" s="9">
        <v>10180</v>
      </c>
      <c r="K89" s="9">
        <v>301286.25</v>
      </c>
      <c r="L89" s="9">
        <v>9700</v>
      </c>
      <c r="M89" s="9">
        <v>60000</v>
      </c>
      <c r="N89" s="9">
        <v>724829.94</v>
      </c>
      <c r="W89" s="9">
        <v>50000</v>
      </c>
      <c r="X89" s="12">
        <f>SUM(X2:X88)</f>
        <v>21442162.289999999</v>
      </c>
      <c r="Y89" s="9">
        <v>65000</v>
      </c>
      <c r="Z89" s="9">
        <v>115000</v>
      </c>
      <c r="AC89" s="9">
        <v>51052.06</v>
      </c>
    </row>
    <row r="90" spans="7:31">
      <c r="G90" s="9">
        <v>427000</v>
      </c>
      <c r="H90" s="9">
        <v>200000</v>
      </c>
      <c r="I90" s="9">
        <v>50000</v>
      </c>
      <c r="J90" s="9">
        <v>65000</v>
      </c>
      <c r="K90" s="9">
        <v>40000</v>
      </c>
      <c r="L90" s="9">
        <v>16994.400000000001</v>
      </c>
      <c r="M90" s="9">
        <v>647713.05000000005</v>
      </c>
      <c r="N90" s="9">
        <v>8887.5</v>
      </c>
      <c r="W90" s="9">
        <v>50000</v>
      </c>
      <c r="Y90" s="9">
        <v>370000</v>
      </c>
      <c r="Z90" s="9">
        <v>84483</v>
      </c>
      <c r="AC90" s="9">
        <v>51317.16</v>
      </c>
    </row>
    <row r="91" spans="7:31">
      <c r="G91" s="9">
        <v>60000</v>
      </c>
      <c r="H91" s="9">
        <v>60000</v>
      </c>
      <c r="I91" s="9">
        <v>628200</v>
      </c>
      <c r="J91" s="9">
        <v>33840</v>
      </c>
      <c r="K91" s="9">
        <v>45000</v>
      </c>
      <c r="L91" s="9">
        <v>6945.2</v>
      </c>
      <c r="M91" s="9">
        <v>164359.5</v>
      </c>
      <c r="N91" s="9">
        <v>324807.51</v>
      </c>
      <c r="W91" s="9">
        <v>121580</v>
      </c>
      <c r="Y91" s="9">
        <v>45000</v>
      </c>
      <c r="Z91" s="9">
        <v>287000</v>
      </c>
      <c r="AC91" s="9">
        <v>25409.08</v>
      </c>
    </row>
    <row r="92" spans="7:31">
      <c r="G92" s="9">
        <v>55000</v>
      </c>
      <c r="H92" s="9">
        <v>130781.55</v>
      </c>
      <c r="I92" s="9">
        <v>61200</v>
      </c>
      <c r="J92" s="9">
        <v>68860</v>
      </c>
      <c r="K92" s="9">
        <v>60000</v>
      </c>
      <c r="L92" s="9">
        <v>22756.2</v>
      </c>
      <c r="M92" s="9">
        <v>7149.5</v>
      </c>
      <c r="N92" s="9">
        <v>136059.73000000001</v>
      </c>
      <c r="W92" s="9">
        <v>65000</v>
      </c>
      <c r="Y92" s="9">
        <v>70000</v>
      </c>
      <c r="Z92" s="9">
        <v>88648.2</v>
      </c>
      <c r="AC92" s="9">
        <v>62212.5</v>
      </c>
    </row>
    <row r="93" spans="7:31">
      <c r="G93" s="9">
        <v>40000</v>
      </c>
      <c r="H93" s="9">
        <v>105905.43</v>
      </c>
      <c r="I93" s="9">
        <v>57500</v>
      </c>
      <c r="J93" s="9">
        <v>3068800</v>
      </c>
      <c r="K93" s="9">
        <v>50000</v>
      </c>
      <c r="L93" s="9">
        <v>20835.599999999999</v>
      </c>
      <c r="M93" s="9">
        <v>2127273.25</v>
      </c>
      <c r="N93" s="9">
        <v>0.99</v>
      </c>
      <c r="W93" s="9">
        <v>35000</v>
      </c>
      <c r="Y93" s="9">
        <v>73925</v>
      </c>
      <c r="Z93" s="9">
        <v>82515.399999999994</v>
      </c>
      <c r="AC93" s="9">
        <v>122529</v>
      </c>
    </row>
    <row r="94" spans="7:31">
      <c r="G94" s="9">
        <v>85331.86</v>
      </c>
      <c r="H94" s="9">
        <v>123678.45</v>
      </c>
      <c r="I94" s="9">
        <v>50000</v>
      </c>
      <c r="J94" s="9">
        <v>2108800</v>
      </c>
      <c r="K94" s="9">
        <v>772012.7</v>
      </c>
      <c r="L94" s="9">
        <v>12978.6</v>
      </c>
      <c r="M94" s="9">
        <v>48624.5</v>
      </c>
      <c r="N94" s="9">
        <v>336358.3</v>
      </c>
      <c r="W94" s="12">
        <f>SUM(W2:W93)</f>
        <v>22114825.880000003</v>
      </c>
      <c r="Y94" s="9">
        <v>404500</v>
      </c>
      <c r="Z94" s="9">
        <v>142917.25</v>
      </c>
      <c r="AC94" s="9">
        <v>309519.71999999997</v>
      </c>
    </row>
    <row r="95" spans="7:31">
      <c r="G95" s="9">
        <v>207138</v>
      </c>
      <c r="H95" s="9">
        <v>61983.8</v>
      </c>
      <c r="I95" s="9">
        <v>227588.14</v>
      </c>
      <c r="J95" s="9">
        <v>55000</v>
      </c>
      <c r="K95" s="9">
        <v>557959.23</v>
      </c>
      <c r="L95" s="9">
        <v>12610</v>
      </c>
      <c r="M95" s="9">
        <v>108654.63</v>
      </c>
      <c r="N95" s="9">
        <v>27136.5</v>
      </c>
      <c r="Y95" s="9">
        <v>154929.25</v>
      </c>
      <c r="Z95" s="9">
        <v>275975.5</v>
      </c>
      <c r="AC95" s="9">
        <v>59400.959999999999</v>
      </c>
    </row>
    <row r="96" spans="7:31">
      <c r="G96" s="9">
        <v>55000</v>
      </c>
      <c r="H96" s="9">
        <v>39898.949999999997</v>
      </c>
      <c r="I96" s="9">
        <v>132338.82999999999</v>
      </c>
      <c r="J96" s="9">
        <v>55000</v>
      </c>
      <c r="K96" s="9">
        <v>594783.1</v>
      </c>
      <c r="L96" s="9">
        <v>11601.2</v>
      </c>
      <c r="M96" s="9">
        <v>600240</v>
      </c>
      <c r="N96" s="9">
        <v>6500000</v>
      </c>
      <c r="Y96" s="9">
        <v>77200.460000000006</v>
      </c>
      <c r="Z96" s="9">
        <v>58342.5</v>
      </c>
      <c r="AC96" s="9">
        <v>19618.25</v>
      </c>
    </row>
    <row r="97" spans="7:29">
      <c r="G97" s="9">
        <v>65000</v>
      </c>
      <c r="H97" s="9">
        <v>181664.45</v>
      </c>
      <c r="I97" s="9">
        <v>40300</v>
      </c>
      <c r="J97" s="9">
        <v>278307.13</v>
      </c>
      <c r="K97" s="9">
        <v>505000</v>
      </c>
      <c r="L97" s="9">
        <v>14259</v>
      </c>
      <c r="M97" s="9">
        <v>725760</v>
      </c>
      <c r="N97" s="9">
        <v>1940</v>
      </c>
      <c r="Y97" s="9">
        <v>113704.77</v>
      </c>
      <c r="Z97" s="9">
        <v>60000</v>
      </c>
      <c r="AC97" s="9">
        <v>23759.25</v>
      </c>
    </row>
    <row r="98" spans="7:29">
      <c r="G98" s="9">
        <v>347505.2</v>
      </c>
      <c r="H98" s="9">
        <v>0.03</v>
      </c>
      <c r="I98" s="9">
        <v>295493.58</v>
      </c>
      <c r="J98" s="9">
        <v>3100.75</v>
      </c>
      <c r="K98" s="9">
        <v>55000</v>
      </c>
      <c r="L98" s="9">
        <v>17867.400000000001</v>
      </c>
      <c r="M98" s="9">
        <v>959721.69</v>
      </c>
      <c r="N98" s="9">
        <v>27571.279999999999</v>
      </c>
      <c r="Y98" s="9">
        <v>20902.05</v>
      </c>
      <c r="Z98" s="9">
        <v>100000</v>
      </c>
      <c r="AC98" s="9">
        <v>38447.1</v>
      </c>
    </row>
    <row r="99" spans="7:29">
      <c r="G99" s="9">
        <v>84632.7</v>
      </c>
      <c r="H99" s="9">
        <v>55617.98</v>
      </c>
      <c r="I99" s="9">
        <v>322562.93</v>
      </c>
      <c r="J99" s="9">
        <v>847766.74</v>
      </c>
      <c r="K99" s="9">
        <v>45000</v>
      </c>
      <c r="L99" s="9">
        <v>14550</v>
      </c>
      <c r="M99" s="9">
        <v>0.99</v>
      </c>
      <c r="N99" s="9">
        <v>10708.8</v>
      </c>
      <c r="Y99" s="9">
        <v>321126.5</v>
      </c>
      <c r="Z99" s="9">
        <v>60000</v>
      </c>
      <c r="AC99" s="9">
        <v>58894.5</v>
      </c>
    </row>
    <row r="100" spans="7:29">
      <c r="G100" s="9">
        <v>65000</v>
      </c>
      <c r="H100" s="9">
        <v>23700</v>
      </c>
      <c r="I100" s="9">
        <v>34412.400000000001</v>
      </c>
      <c r="J100" s="9">
        <v>1060981.95</v>
      </c>
      <c r="K100" s="9">
        <v>65000</v>
      </c>
      <c r="L100" s="9">
        <v>13157.14</v>
      </c>
      <c r="M100" s="9">
        <v>32350.5</v>
      </c>
      <c r="N100" s="9">
        <v>10929.96</v>
      </c>
      <c r="Y100" s="12">
        <f>SUM(Y2:Y99)</f>
        <v>31603536.799999997</v>
      </c>
      <c r="Z100" s="9">
        <v>186272.4</v>
      </c>
      <c r="AC100" s="9">
        <v>165268.79999999999</v>
      </c>
    </row>
    <row r="101" spans="7:29">
      <c r="G101" s="9">
        <v>50000</v>
      </c>
      <c r="H101" s="9">
        <v>100000</v>
      </c>
      <c r="I101" s="9">
        <v>40000</v>
      </c>
      <c r="J101" s="9">
        <v>37525</v>
      </c>
      <c r="K101" s="9">
        <v>50000</v>
      </c>
      <c r="L101" s="9">
        <v>316596.45</v>
      </c>
      <c r="M101" s="9">
        <v>97644</v>
      </c>
      <c r="N101" s="9">
        <v>8148</v>
      </c>
      <c r="Z101" s="9">
        <v>18996.45</v>
      </c>
      <c r="AC101" s="9">
        <v>92654.32</v>
      </c>
    </row>
    <row r="102" spans="7:29">
      <c r="G102" s="9">
        <v>50000</v>
      </c>
      <c r="H102" s="9">
        <v>65000</v>
      </c>
      <c r="I102" s="9">
        <v>100000</v>
      </c>
      <c r="J102" s="9">
        <v>1078391.48</v>
      </c>
      <c r="K102" s="9">
        <v>484722.28</v>
      </c>
      <c r="L102" s="9">
        <v>78470.7</v>
      </c>
      <c r="M102" s="9">
        <v>242391.75</v>
      </c>
      <c r="N102" s="9">
        <v>203346</v>
      </c>
      <c r="Z102" s="9">
        <v>330076.31</v>
      </c>
      <c r="AC102" s="9">
        <v>153516.75</v>
      </c>
    </row>
    <row r="103" spans="7:29">
      <c r="G103" s="9">
        <v>50000</v>
      </c>
      <c r="H103" s="9">
        <v>55000</v>
      </c>
      <c r="I103" s="9">
        <v>725760</v>
      </c>
      <c r="J103" s="9">
        <v>21527.5</v>
      </c>
      <c r="K103" s="9">
        <v>250154.49</v>
      </c>
      <c r="L103" s="9">
        <v>94423.8</v>
      </c>
      <c r="M103" s="9">
        <v>233563.5</v>
      </c>
      <c r="N103" s="9">
        <v>13805.25</v>
      </c>
      <c r="Z103" s="9">
        <v>94402.5</v>
      </c>
      <c r="AC103" s="9">
        <v>10902</v>
      </c>
    </row>
    <row r="104" spans="7:29">
      <c r="G104" s="9">
        <v>70000</v>
      </c>
      <c r="H104" s="9">
        <v>40000</v>
      </c>
      <c r="I104" s="9">
        <v>28084.5</v>
      </c>
      <c r="J104" s="9">
        <v>966338.86</v>
      </c>
      <c r="K104" s="9">
        <v>180400</v>
      </c>
      <c r="L104" s="9">
        <v>723089.98</v>
      </c>
      <c r="M104" s="9">
        <v>201809</v>
      </c>
      <c r="N104" s="9">
        <v>10534.2</v>
      </c>
      <c r="Z104" s="9">
        <v>29338.3</v>
      </c>
      <c r="AC104" s="9">
        <v>18110.75</v>
      </c>
    </row>
    <row r="105" spans="7:29">
      <c r="G105" s="9">
        <v>100000</v>
      </c>
      <c r="H105" s="9">
        <v>50000</v>
      </c>
      <c r="I105" s="9">
        <v>59510.71</v>
      </c>
      <c r="J105" s="9">
        <v>6800</v>
      </c>
      <c r="K105" s="9">
        <v>110619.75</v>
      </c>
      <c r="L105" s="9">
        <v>533680.55000000005</v>
      </c>
      <c r="M105" s="9">
        <v>161753.4</v>
      </c>
      <c r="N105" s="9">
        <v>52380</v>
      </c>
      <c r="Z105" s="12">
        <f>SUM(Z2:Z104)</f>
        <v>27872340.669999994</v>
      </c>
      <c r="AC105" s="9">
        <v>256587.06</v>
      </c>
    </row>
    <row r="106" spans="7:29">
      <c r="G106" s="9">
        <v>50000</v>
      </c>
      <c r="H106" s="9">
        <v>60000</v>
      </c>
      <c r="I106" s="9">
        <v>65000</v>
      </c>
      <c r="J106" s="9">
        <v>38570</v>
      </c>
      <c r="K106" s="9">
        <v>458915.07</v>
      </c>
      <c r="L106" s="9">
        <v>882770.11</v>
      </c>
      <c r="M106" s="9">
        <v>185219.25</v>
      </c>
      <c r="N106" s="9">
        <v>15015.6</v>
      </c>
      <c r="AC106" s="12">
        <f>SUM(AC2:AC105)</f>
        <v>11490083.480000004</v>
      </c>
    </row>
    <row r="107" spans="7:29">
      <c r="G107" s="9">
        <v>65000</v>
      </c>
      <c r="H107" s="9">
        <v>50000</v>
      </c>
      <c r="I107" s="9">
        <v>55000</v>
      </c>
      <c r="J107" s="9">
        <v>100725</v>
      </c>
      <c r="K107" s="9">
        <v>50000</v>
      </c>
      <c r="L107" s="9">
        <v>901824.51</v>
      </c>
      <c r="M107" s="9">
        <v>424775.1</v>
      </c>
      <c r="N107" s="9">
        <v>2910</v>
      </c>
    </row>
    <row r="108" spans="7:29">
      <c r="G108" s="9">
        <v>50000</v>
      </c>
      <c r="H108" s="9">
        <v>55000</v>
      </c>
      <c r="I108" s="9">
        <v>55000</v>
      </c>
      <c r="J108" s="9">
        <v>24553.200000000001</v>
      </c>
      <c r="K108" s="9">
        <v>55000</v>
      </c>
      <c r="L108" s="9">
        <v>5332.5</v>
      </c>
      <c r="M108" s="9">
        <v>580479.16</v>
      </c>
      <c r="N108" s="9">
        <v>38353.800000000003</v>
      </c>
    </row>
    <row r="109" spans="7:29">
      <c r="G109" s="9">
        <v>206920.75</v>
      </c>
      <c r="H109" s="9">
        <v>161545.13</v>
      </c>
      <c r="I109" s="9">
        <v>65000</v>
      </c>
      <c r="J109" s="9">
        <v>40680</v>
      </c>
      <c r="K109" s="9">
        <v>65000</v>
      </c>
      <c r="L109" s="9">
        <v>110032.19</v>
      </c>
      <c r="M109" s="9">
        <v>656039.71</v>
      </c>
      <c r="N109" s="9">
        <v>5529</v>
      </c>
    </row>
    <row r="110" spans="7:29">
      <c r="G110" s="9">
        <v>86149.5</v>
      </c>
      <c r="H110" s="9">
        <v>76669.5</v>
      </c>
      <c r="I110" s="9">
        <v>50000</v>
      </c>
      <c r="J110" s="9">
        <v>49200</v>
      </c>
      <c r="K110" s="9">
        <v>50000</v>
      </c>
      <c r="L110" s="9">
        <v>17822.400000000001</v>
      </c>
      <c r="M110" s="9">
        <v>954211.78</v>
      </c>
      <c r="N110" s="9">
        <v>15917.7</v>
      </c>
    </row>
    <row r="111" spans="7:29">
      <c r="G111" s="9">
        <v>75000</v>
      </c>
      <c r="H111" s="9">
        <v>1000000</v>
      </c>
      <c r="I111" s="9">
        <v>250000</v>
      </c>
      <c r="J111" s="9">
        <v>250000</v>
      </c>
      <c r="K111" s="9">
        <v>50000</v>
      </c>
      <c r="L111" s="9">
        <v>60000</v>
      </c>
      <c r="M111" s="9">
        <v>185641.12</v>
      </c>
      <c r="N111" s="9">
        <v>8730</v>
      </c>
    </row>
    <row r="112" spans="7:29">
      <c r="G112" s="9">
        <v>70000</v>
      </c>
      <c r="H112" s="9">
        <v>45000</v>
      </c>
      <c r="I112" s="9">
        <v>55000</v>
      </c>
      <c r="J112" s="9">
        <v>317846.63</v>
      </c>
      <c r="K112" s="9">
        <v>65000</v>
      </c>
      <c r="L112" s="9">
        <v>25000</v>
      </c>
      <c r="M112" s="9">
        <v>76057.25</v>
      </c>
      <c r="N112" s="9">
        <v>5820</v>
      </c>
    </row>
    <row r="113" spans="7:14">
      <c r="G113" s="9">
        <v>194156.33</v>
      </c>
      <c r="H113" s="9">
        <v>50000</v>
      </c>
      <c r="I113" s="9">
        <v>50000</v>
      </c>
      <c r="J113" s="9">
        <v>197756.75</v>
      </c>
      <c r="K113" s="9">
        <v>60000</v>
      </c>
      <c r="L113" s="9">
        <v>50000</v>
      </c>
      <c r="M113" s="9">
        <v>345123.35</v>
      </c>
      <c r="N113" s="9">
        <v>262750.05</v>
      </c>
    </row>
    <row r="114" spans="7:14">
      <c r="G114" s="9">
        <v>127155.38</v>
      </c>
      <c r="H114" s="9">
        <v>60000</v>
      </c>
      <c r="I114" s="9">
        <v>50000</v>
      </c>
      <c r="J114" s="9">
        <v>201165.6</v>
      </c>
      <c r="K114" s="9">
        <v>60000</v>
      </c>
      <c r="L114" s="9">
        <v>700</v>
      </c>
      <c r="M114" s="9">
        <v>310633.40000000002</v>
      </c>
      <c r="N114" s="9">
        <v>27729</v>
      </c>
    </row>
    <row r="115" spans="7:14">
      <c r="G115" s="9">
        <v>65000</v>
      </c>
      <c r="H115" s="9">
        <v>10803.25</v>
      </c>
      <c r="I115" s="9">
        <v>50000</v>
      </c>
      <c r="J115" s="9">
        <v>84332.5</v>
      </c>
      <c r="K115" s="9">
        <v>580716.01</v>
      </c>
      <c r="L115" s="9">
        <v>211304.26</v>
      </c>
      <c r="M115" s="9">
        <v>362315.4</v>
      </c>
      <c r="N115" s="9">
        <v>719950</v>
      </c>
    </row>
    <row r="116" spans="7:14">
      <c r="G116" s="9">
        <v>50000</v>
      </c>
      <c r="H116" s="9">
        <v>1294961.25</v>
      </c>
      <c r="I116" s="9">
        <v>868170.53</v>
      </c>
      <c r="J116" s="9">
        <v>969476.06</v>
      </c>
      <c r="K116" s="9">
        <v>438726.51</v>
      </c>
      <c r="L116" s="9">
        <v>271406.90999999997</v>
      </c>
      <c r="M116" s="9">
        <v>5332.5</v>
      </c>
      <c r="N116" s="9">
        <v>17828.599999999999</v>
      </c>
    </row>
    <row r="117" spans="7:14">
      <c r="G117" s="9">
        <v>40000</v>
      </c>
      <c r="H117" s="9">
        <v>0.03</v>
      </c>
      <c r="I117" s="9">
        <v>643710.77</v>
      </c>
      <c r="J117" s="9">
        <v>617671.38</v>
      </c>
      <c r="K117" s="9">
        <v>221342.2</v>
      </c>
      <c r="L117" s="9">
        <v>250000</v>
      </c>
      <c r="M117" s="9">
        <v>219979.75</v>
      </c>
      <c r="N117" s="9">
        <v>973989.03</v>
      </c>
    </row>
    <row r="118" spans="7:14">
      <c r="G118" s="9">
        <v>45000</v>
      </c>
      <c r="H118" s="9">
        <v>45000</v>
      </c>
      <c r="I118" s="9">
        <v>695241.48</v>
      </c>
      <c r="J118" s="9">
        <v>1065139.45</v>
      </c>
      <c r="K118" s="9">
        <v>50000</v>
      </c>
      <c r="L118" s="9">
        <v>249300</v>
      </c>
      <c r="M118" s="9">
        <v>131325.65</v>
      </c>
      <c r="N118" s="9">
        <v>431817.95</v>
      </c>
    </row>
    <row r="119" spans="7:14">
      <c r="G119" s="9">
        <v>35000</v>
      </c>
      <c r="H119" s="9">
        <v>45000</v>
      </c>
      <c r="I119" s="9">
        <v>50000</v>
      </c>
      <c r="J119" s="9">
        <v>39540</v>
      </c>
      <c r="K119" s="9">
        <v>35000</v>
      </c>
      <c r="L119" s="9">
        <v>725760</v>
      </c>
      <c r="M119" s="9">
        <v>1975</v>
      </c>
      <c r="N119" s="9">
        <v>78055.95</v>
      </c>
    </row>
    <row r="120" spans="7:14">
      <c r="G120" s="9">
        <v>75000</v>
      </c>
      <c r="H120" s="9">
        <v>45000</v>
      </c>
      <c r="I120" s="9">
        <v>65000</v>
      </c>
      <c r="J120" s="9">
        <v>457562.08</v>
      </c>
      <c r="K120" s="9">
        <v>40000</v>
      </c>
      <c r="L120" s="9">
        <v>254431</v>
      </c>
      <c r="M120" s="9">
        <v>107325.45</v>
      </c>
      <c r="N120" s="9">
        <v>729533.4</v>
      </c>
    </row>
    <row r="121" spans="7:14">
      <c r="G121" s="9">
        <v>20000</v>
      </c>
      <c r="H121" s="9">
        <v>90000</v>
      </c>
      <c r="I121" s="9">
        <v>70000</v>
      </c>
      <c r="J121" s="9">
        <v>188652</v>
      </c>
      <c r="K121" s="9">
        <v>79200</v>
      </c>
      <c r="L121" s="9">
        <v>488148.9</v>
      </c>
      <c r="M121" s="9">
        <v>618841.56999999995</v>
      </c>
      <c r="N121" s="9">
        <v>8846.4</v>
      </c>
    </row>
    <row r="122" spans="7:14">
      <c r="G122" s="9">
        <v>430737.64</v>
      </c>
      <c r="H122" s="9">
        <v>93259.5</v>
      </c>
      <c r="I122" s="9">
        <v>50000</v>
      </c>
      <c r="J122" s="9">
        <v>64207.25</v>
      </c>
      <c r="L122" s="9">
        <v>3550000</v>
      </c>
      <c r="M122" s="9">
        <v>123046.46</v>
      </c>
      <c r="N122" s="9">
        <v>13851.6</v>
      </c>
    </row>
    <row r="123" spans="7:14">
      <c r="G123" s="9">
        <v>1058471.6299999999</v>
      </c>
      <c r="H123" s="9">
        <v>8769</v>
      </c>
      <c r="I123" s="9">
        <v>50000</v>
      </c>
      <c r="J123" s="9">
        <v>132214.39999999999</v>
      </c>
      <c r="L123" s="9">
        <v>6018508.6900000004</v>
      </c>
      <c r="M123" s="9">
        <v>91067.25</v>
      </c>
      <c r="N123" s="9">
        <v>20835.599999999999</v>
      </c>
    </row>
    <row r="124" spans="7:14">
      <c r="G124" s="9">
        <v>588426.57999999996</v>
      </c>
      <c r="H124" s="9">
        <v>20640</v>
      </c>
      <c r="I124" s="9">
        <v>45000</v>
      </c>
      <c r="J124" s="9">
        <v>18604.5</v>
      </c>
      <c r="L124" s="9">
        <v>325614.3</v>
      </c>
      <c r="M124" s="9">
        <v>791736.03</v>
      </c>
      <c r="N124" s="9">
        <v>5548.4</v>
      </c>
    </row>
    <row r="125" spans="7:14">
      <c r="G125" s="9">
        <v>128556.7</v>
      </c>
      <c r="H125" s="9">
        <v>35000</v>
      </c>
      <c r="I125" s="9">
        <v>65000</v>
      </c>
      <c r="L125" s="9">
        <v>85936.2</v>
      </c>
      <c r="M125" s="9">
        <v>1159800.06</v>
      </c>
      <c r="N125" s="9">
        <v>12687.6</v>
      </c>
    </row>
    <row r="126" spans="7:14">
      <c r="G126" s="9">
        <v>551416.06000000006</v>
      </c>
      <c r="H126" s="9">
        <v>45000</v>
      </c>
      <c r="I126" s="9">
        <v>50000</v>
      </c>
      <c r="L126" s="9">
        <v>60000</v>
      </c>
      <c r="M126" s="9">
        <v>393961.15</v>
      </c>
      <c r="N126" s="9">
        <v>643680.15</v>
      </c>
    </row>
    <row r="127" spans="7:14">
      <c r="G127" s="9">
        <v>805739.75</v>
      </c>
      <c r="H127" s="9">
        <v>100000</v>
      </c>
      <c r="I127" s="9">
        <v>70000</v>
      </c>
      <c r="L127" s="9">
        <v>65000</v>
      </c>
      <c r="M127" s="9">
        <v>830229.21</v>
      </c>
      <c r="N127" s="9">
        <v>333672.3</v>
      </c>
    </row>
    <row r="128" spans="7:14">
      <c r="G128" s="9">
        <v>178584</v>
      </c>
      <c r="L128" s="9">
        <v>75400</v>
      </c>
      <c r="M128" s="9">
        <v>180000</v>
      </c>
      <c r="N128" s="9">
        <v>0.99</v>
      </c>
    </row>
    <row r="129" spans="7:14">
      <c r="G129" s="9">
        <v>65000</v>
      </c>
      <c r="L129" s="9">
        <v>50000</v>
      </c>
      <c r="M129" s="9">
        <v>127565.25</v>
      </c>
      <c r="N129" s="9">
        <v>90418.47</v>
      </c>
    </row>
    <row r="130" spans="7:14">
      <c r="G130" s="9">
        <v>50000</v>
      </c>
      <c r="L130" s="9">
        <v>557325.35</v>
      </c>
      <c r="M130" s="9">
        <v>12975.75</v>
      </c>
      <c r="N130" s="9">
        <v>251318.75</v>
      </c>
    </row>
    <row r="131" spans="7:14">
      <c r="G131" s="9">
        <v>50000</v>
      </c>
      <c r="L131" s="9">
        <v>894506.95</v>
      </c>
      <c r="M131" s="9">
        <v>10605.75</v>
      </c>
      <c r="N131" s="9">
        <v>57519.9</v>
      </c>
    </row>
    <row r="132" spans="7:14">
      <c r="G132" s="9">
        <v>65000</v>
      </c>
      <c r="L132" s="9">
        <v>759739.05</v>
      </c>
      <c r="M132" s="12">
        <f>SUM(M2:M131)</f>
        <v>31400656.279999997</v>
      </c>
      <c r="N132" s="9">
        <v>299117.7</v>
      </c>
    </row>
    <row r="133" spans="7:14">
      <c r="G133" s="9">
        <v>50000</v>
      </c>
      <c r="L133" s="9">
        <v>798638.65</v>
      </c>
      <c r="N133" s="9">
        <v>73375.199999999997</v>
      </c>
    </row>
    <row r="134" spans="7:14">
      <c r="G134" s="9">
        <v>156115.85</v>
      </c>
      <c r="L134" s="9">
        <v>286500</v>
      </c>
      <c r="N134" s="9">
        <v>1083623</v>
      </c>
    </row>
    <row r="135" spans="7:14">
      <c r="G135" s="9">
        <v>340368.48</v>
      </c>
      <c r="L135" s="9">
        <v>1742000</v>
      </c>
      <c r="N135" s="9">
        <v>338736.2</v>
      </c>
    </row>
    <row r="136" spans="7:14">
      <c r="G136" s="9">
        <v>370065.63</v>
      </c>
      <c r="L136" s="9">
        <v>55000</v>
      </c>
      <c r="N136" s="9">
        <v>118026</v>
      </c>
    </row>
    <row r="137" spans="7:14">
      <c r="G137" s="9">
        <v>147573.98000000001</v>
      </c>
      <c r="L137" s="9">
        <v>55000</v>
      </c>
      <c r="N137" s="12">
        <f>SUM(N2:N136)</f>
        <v>28359124.339999996</v>
      </c>
    </row>
    <row r="138" spans="7:14">
      <c r="G138" s="9">
        <v>0.99</v>
      </c>
      <c r="L138" s="9">
        <v>55000</v>
      </c>
    </row>
    <row r="139" spans="7:14">
      <c r="G139" s="9">
        <v>497302.14</v>
      </c>
      <c r="L139" s="9">
        <v>55000</v>
      </c>
    </row>
    <row r="140" spans="7:14">
      <c r="G140" s="9">
        <v>66561.45</v>
      </c>
      <c r="L140" s="9">
        <v>50000</v>
      </c>
    </row>
    <row r="141" spans="7:14">
      <c r="G141" s="9">
        <v>30000</v>
      </c>
      <c r="L141" s="9">
        <v>55000</v>
      </c>
    </row>
    <row r="142" spans="7:14">
      <c r="G142" s="9">
        <v>60000</v>
      </c>
      <c r="L142" s="9">
        <v>55000</v>
      </c>
    </row>
    <row r="143" spans="7:14">
      <c r="G143" s="9">
        <v>50000</v>
      </c>
      <c r="L143" s="9">
        <v>60000</v>
      </c>
    </row>
    <row r="144" spans="7:14">
      <c r="G144" s="9">
        <v>50000</v>
      </c>
      <c r="L144" s="9">
        <v>300093.34999999998</v>
      </c>
    </row>
    <row r="145" spans="7:12">
      <c r="G145" s="9">
        <v>100000</v>
      </c>
      <c r="L145" s="9">
        <v>103612.45</v>
      </c>
    </row>
    <row r="146" spans="7:12">
      <c r="G146" s="9">
        <v>725685.12</v>
      </c>
      <c r="L146" s="9">
        <v>2760000</v>
      </c>
    </row>
    <row r="147" spans="7:12">
      <c r="G147" s="9">
        <v>130669.95</v>
      </c>
      <c r="L147" s="9">
        <v>50000</v>
      </c>
    </row>
    <row r="148" spans="7:12">
      <c r="G148" s="9">
        <v>60000</v>
      </c>
      <c r="L148" s="9">
        <v>0.01</v>
      </c>
    </row>
    <row r="149" spans="7:12">
      <c r="G149" s="9">
        <v>70000</v>
      </c>
      <c r="L149" s="9">
        <v>9544.7999999999993</v>
      </c>
    </row>
    <row r="150" spans="7:12">
      <c r="G150" s="9">
        <v>725760</v>
      </c>
      <c r="L150" s="9">
        <v>158420.4</v>
      </c>
    </row>
    <row r="151" spans="7:12">
      <c r="G151" s="9">
        <f>SUM(G2:G150)</f>
        <v>33945246.529999986</v>
      </c>
      <c r="H151" s="9">
        <f>SUM(H2:H150)</f>
        <v>30255253.999999996</v>
      </c>
      <c r="I151" s="9">
        <f>SUM(I2:I150)</f>
        <v>19065186.350000001</v>
      </c>
      <c r="J151" s="9">
        <f>SUM(J2:J150)</f>
        <v>41976533.830000006</v>
      </c>
      <c r="K151" s="9">
        <f>SUM(K2:K150)</f>
        <v>31259362.609999999</v>
      </c>
      <c r="L151" s="9">
        <v>24560.400000000001</v>
      </c>
    </row>
    <row r="152" spans="7:12">
      <c r="L152" s="9">
        <v>38994</v>
      </c>
    </row>
    <row r="153" spans="7:12">
      <c r="L153" s="9">
        <v>15423</v>
      </c>
    </row>
    <row r="154" spans="7:12">
      <c r="L154" s="9">
        <v>6033.4</v>
      </c>
    </row>
    <row r="155" spans="7:12">
      <c r="L155" s="9">
        <v>30322.2</v>
      </c>
    </row>
    <row r="156" spans="7:12">
      <c r="L156" s="9">
        <v>17460</v>
      </c>
    </row>
    <row r="157" spans="7:12">
      <c r="L157" s="9">
        <v>8613.6</v>
      </c>
    </row>
    <row r="158" spans="7:12">
      <c r="L158" s="9">
        <v>12513</v>
      </c>
    </row>
    <row r="159" spans="7:12">
      <c r="L159" s="9">
        <v>19904.400000000001</v>
      </c>
    </row>
    <row r="160" spans="7:12">
      <c r="L160" s="9">
        <v>352498</v>
      </c>
    </row>
    <row r="161" spans="12:12">
      <c r="L161" s="9">
        <v>42020</v>
      </c>
    </row>
    <row r="162" spans="12:12">
      <c r="L162" s="9">
        <v>8972.5</v>
      </c>
    </row>
    <row r="163" spans="12:12">
      <c r="L163" s="9">
        <v>15888.6</v>
      </c>
    </row>
    <row r="164" spans="12:12">
      <c r="L164" s="9">
        <v>6790</v>
      </c>
    </row>
    <row r="165" spans="12:12">
      <c r="L165" s="9">
        <v>18565.8</v>
      </c>
    </row>
    <row r="166" spans="12:12">
      <c r="L166" s="9">
        <v>8380.7999999999993</v>
      </c>
    </row>
    <row r="167" spans="12:12">
      <c r="L167" s="9">
        <v>12648.8</v>
      </c>
    </row>
    <row r="168" spans="12:12">
      <c r="L168" s="9">
        <v>16028.28</v>
      </c>
    </row>
    <row r="169" spans="12:12">
      <c r="L169" s="9">
        <v>5335</v>
      </c>
    </row>
    <row r="170" spans="12:12">
      <c r="L170" s="9">
        <v>97</v>
      </c>
    </row>
    <row r="171" spans="12:12">
      <c r="L171" s="9">
        <v>5529</v>
      </c>
    </row>
    <row r="172" spans="12:12">
      <c r="L172" s="9">
        <v>10185</v>
      </c>
    </row>
    <row r="173" spans="12:12">
      <c r="L173" s="9">
        <v>4462</v>
      </c>
    </row>
    <row r="174" spans="12:12">
      <c r="L174" s="9">
        <v>4306.8</v>
      </c>
    </row>
    <row r="175" spans="12:12">
      <c r="L175" s="9">
        <v>30322.2</v>
      </c>
    </row>
    <row r="176" spans="12:12">
      <c r="L176" s="9">
        <v>4656</v>
      </c>
    </row>
    <row r="177" spans="12:12">
      <c r="L177" s="9">
        <v>18158.400000000001</v>
      </c>
    </row>
    <row r="178" spans="12:12">
      <c r="L178" s="9">
        <v>9700</v>
      </c>
    </row>
    <row r="179" spans="12:12">
      <c r="L179" s="9">
        <v>41554.800000000003</v>
      </c>
    </row>
    <row r="180" spans="12:12">
      <c r="L180" s="9">
        <v>9952.2000000000007</v>
      </c>
    </row>
    <row r="181" spans="12:12">
      <c r="L181" s="9">
        <v>11640</v>
      </c>
    </row>
    <row r="182" spans="12:12">
      <c r="L182" s="9">
        <v>2328</v>
      </c>
    </row>
    <row r="183" spans="12:12">
      <c r="L183" s="9">
        <v>5820</v>
      </c>
    </row>
    <row r="184" spans="12:12">
      <c r="L184" s="9">
        <v>41787.599999999999</v>
      </c>
    </row>
    <row r="185" spans="12:12">
      <c r="L185" s="9">
        <v>13060.08</v>
      </c>
    </row>
    <row r="186" spans="12:12">
      <c r="L186" s="9">
        <v>10708.8</v>
      </c>
    </row>
    <row r="187" spans="12:12">
      <c r="L187" s="9">
        <v>103391.25</v>
      </c>
    </row>
    <row r="188" spans="12:12">
      <c r="L188" s="9">
        <v>187139.16</v>
      </c>
    </row>
    <row r="189" spans="12:12">
      <c r="L189" s="9">
        <v>32700</v>
      </c>
    </row>
    <row r="190" spans="12:12">
      <c r="L190" s="9">
        <v>663500.25</v>
      </c>
    </row>
    <row r="191" spans="12:12">
      <c r="L191" s="9">
        <v>16629.5</v>
      </c>
    </row>
    <row r="192" spans="12:12">
      <c r="L192" s="9">
        <v>32000</v>
      </c>
    </row>
    <row r="193" spans="12:12">
      <c r="L193" s="9">
        <v>30840</v>
      </c>
    </row>
    <row r="194" spans="12:12">
      <c r="L194" s="9">
        <v>500000</v>
      </c>
    </row>
    <row r="195" spans="12:12">
      <c r="L195" s="9">
        <v>165315.4</v>
      </c>
    </row>
    <row r="196" spans="12:12">
      <c r="L196" s="9">
        <v>237726.8</v>
      </c>
    </row>
    <row r="197" spans="12:12">
      <c r="L197" s="9">
        <v>50000</v>
      </c>
    </row>
    <row r="198" spans="12:12">
      <c r="L198" s="9">
        <v>50000</v>
      </c>
    </row>
    <row r="199" spans="12:12">
      <c r="L199" s="9">
        <v>65000</v>
      </c>
    </row>
    <row r="200" spans="12:12">
      <c r="L200" s="9">
        <v>55000</v>
      </c>
    </row>
    <row r="201" spans="12:12">
      <c r="L201" s="9">
        <v>70000</v>
      </c>
    </row>
    <row r="202" spans="12:12">
      <c r="L202" s="9">
        <v>879234.46</v>
      </c>
    </row>
    <row r="203" spans="12:12">
      <c r="L203" s="9">
        <v>368496.49</v>
      </c>
    </row>
    <row r="204" spans="12:12">
      <c r="L204" s="9">
        <v>381684.55</v>
      </c>
    </row>
    <row r="205" spans="12:12">
      <c r="L205" s="9">
        <v>894787.65</v>
      </c>
    </row>
    <row r="206" spans="12:12">
      <c r="L206" s="9">
        <v>50000</v>
      </c>
    </row>
    <row r="207" spans="12:12">
      <c r="L207" s="9">
        <v>60000</v>
      </c>
    </row>
    <row r="208" spans="12:12">
      <c r="L208" s="9">
        <v>55000</v>
      </c>
    </row>
    <row r="209" spans="12:12">
      <c r="L209" s="9">
        <v>55000</v>
      </c>
    </row>
    <row r="210" spans="12:12">
      <c r="L210" s="9">
        <v>50000</v>
      </c>
    </row>
    <row r="211" spans="12:12">
      <c r="L211" s="9">
        <v>55000</v>
      </c>
    </row>
    <row r="212" spans="12:12">
      <c r="L212" s="9">
        <v>55000</v>
      </c>
    </row>
    <row r="213" spans="12:12">
      <c r="L213" s="9">
        <f>SUM(L2:L212)</f>
        <v>48162643.869999975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086"/>
  <sheetViews>
    <sheetView topLeftCell="A34" workbookViewId="0">
      <pane ySplit="1365" topLeftCell="A629" activePane="bottomLeft"/>
      <selection activeCell="I36" sqref="I36"/>
      <selection pane="bottomLeft" activeCell="A629" sqref="A629"/>
    </sheetView>
  </sheetViews>
  <sheetFormatPr defaultRowHeight="15"/>
  <cols>
    <col min="1" max="1" width="5.28515625" customWidth="1"/>
    <col min="2" max="2" width="30.28515625" customWidth="1"/>
    <col min="3" max="3" width="15" customWidth="1"/>
    <col min="4" max="4" width="15.28515625" customWidth="1"/>
    <col min="5" max="5" width="15" customWidth="1"/>
    <col min="6" max="6" width="14.85546875" customWidth="1"/>
    <col min="7" max="7" width="15" customWidth="1"/>
    <col min="8" max="8" width="16.7109375" customWidth="1"/>
    <col min="9" max="10" width="13.28515625" customWidth="1"/>
    <col min="11" max="11" width="24.140625" customWidth="1"/>
    <col min="12" max="12" width="17.5703125" hidden="1" customWidth="1"/>
    <col min="13" max="13" width="12.85546875" hidden="1" customWidth="1"/>
    <col min="14" max="14" width="17.28515625" hidden="1" customWidth="1"/>
    <col min="15" max="15" width="15" hidden="1" customWidth="1"/>
    <col min="16" max="16" width="14.85546875" hidden="1" customWidth="1"/>
    <col min="17" max="17" width="18" customWidth="1"/>
    <col min="18" max="18" width="14" customWidth="1"/>
    <col min="19" max="19" width="11.5703125" customWidth="1"/>
    <col min="20" max="20" width="11.5703125" bestFit="1" customWidth="1"/>
    <col min="21" max="21" width="13.28515625" customWidth="1"/>
    <col min="22" max="22" width="14.85546875" customWidth="1"/>
    <col min="23" max="23" width="13.28515625" customWidth="1"/>
    <col min="24" max="26" width="11.5703125" customWidth="1"/>
    <col min="27" max="27" width="13.42578125" customWidth="1"/>
    <col min="28" max="28" width="15.28515625" customWidth="1"/>
  </cols>
  <sheetData>
    <row r="1" spans="1:28">
      <c r="A1" s="5">
        <v>1</v>
      </c>
      <c r="B1" s="1" t="s">
        <v>429</v>
      </c>
    </row>
    <row r="2" spans="1:28" s="6" customFormat="1" ht="43.5" customHeight="1">
      <c r="A2" s="6" t="s">
        <v>451</v>
      </c>
      <c r="B2" s="6" t="s">
        <v>452</v>
      </c>
      <c r="C2" s="182" t="s">
        <v>450</v>
      </c>
      <c r="D2" s="182" t="s">
        <v>493</v>
      </c>
      <c r="E2" s="6" t="s">
        <v>579</v>
      </c>
      <c r="F2" s="182" t="s">
        <v>60</v>
      </c>
      <c r="G2" s="182" t="s">
        <v>492</v>
      </c>
      <c r="H2" s="6" t="s">
        <v>96</v>
      </c>
      <c r="I2" s="182" t="s">
        <v>497</v>
      </c>
      <c r="J2" s="182" t="s">
        <v>499</v>
      </c>
      <c r="K2" s="182" t="s">
        <v>560</v>
      </c>
      <c r="L2" s="6" t="s">
        <v>459</v>
      </c>
      <c r="M2" s="6" t="s">
        <v>100</v>
      </c>
      <c r="N2" s="6" t="s">
        <v>52</v>
      </c>
      <c r="O2" s="6" t="s">
        <v>464</v>
      </c>
      <c r="P2" s="182" t="s">
        <v>376</v>
      </c>
      <c r="Q2" s="6" t="s">
        <v>466</v>
      </c>
      <c r="R2" s="6" t="s">
        <v>97</v>
      </c>
      <c r="S2" s="6" t="s">
        <v>317</v>
      </c>
      <c r="T2" s="6" t="s">
        <v>247</v>
      </c>
      <c r="U2" s="186" t="s">
        <v>477</v>
      </c>
      <c r="V2" s="182" t="s">
        <v>506</v>
      </c>
      <c r="W2" s="6" t="s">
        <v>476</v>
      </c>
      <c r="X2" s="6" t="s">
        <v>478</v>
      </c>
      <c r="Y2" s="182" t="s">
        <v>591</v>
      </c>
      <c r="Z2" s="6" t="s">
        <v>375</v>
      </c>
      <c r="AA2" s="182" t="s">
        <v>576</v>
      </c>
      <c r="AB2" s="6" t="s">
        <v>22</v>
      </c>
    </row>
    <row r="3" spans="1:28">
      <c r="A3" t="s">
        <v>453</v>
      </c>
      <c r="B3" t="s">
        <v>454</v>
      </c>
      <c r="C3" s="9">
        <v>600000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>
        <f>SUM(C3:W3)</f>
        <v>600000</v>
      </c>
    </row>
    <row r="4" spans="1:28">
      <c r="B4" t="s">
        <v>60</v>
      </c>
      <c r="C4" s="9"/>
      <c r="D4" s="9"/>
      <c r="E4" s="9"/>
      <c r="F4" s="9">
        <v>2000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>
        <f>SUM(C4:AA4)</f>
        <v>2000</v>
      </c>
    </row>
    <row r="5" spans="1:28">
      <c r="B5" t="s">
        <v>60</v>
      </c>
      <c r="C5" s="9"/>
      <c r="D5" s="9"/>
      <c r="E5" s="9"/>
      <c r="F5" s="9">
        <v>100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>
        <f t="shared" ref="AB5:AB44" si="0">SUM(C5:AA5)</f>
        <v>100</v>
      </c>
    </row>
    <row r="6" spans="1:28">
      <c r="B6" t="s">
        <v>60</v>
      </c>
      <c r="C6" s="9"/>
      <c r="D6" s="9"/>
      <c r="E6" s="9"/>
      <c r="F6" s="9">
        <v>1200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>
        <f t="shared" si="0"/>
        <v>1200</v>
      </c>
    </row>
    <row r="7" spans="1:28">
      <c r="B7" t="s">
        <v>60</v>
      </c>
      <c r="C7" s="9"/>
      <c r="D7" s="9"/>
      <c r="E7" s="9"/>
      <c r="F7" s="9">
        <v>60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>
        <f t="shared" si="0"/>
        <v>60</v>
      </c>
    </row>
    <row r="8" spans="1:28">
      <c r="A8" t="s">
        <v>455</v>
      </c>
      <c r="B8" t="s">
        <v>454</v>
      </c>
      <c r="C8" s="9">
        <v>890000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f t="shared" si="0"/>
        <v>890000</v>
      </c>
    </row>
    <row r="9" spans="1:28">
      <c r="B9" t="s">
        <v>60</v>
      </c>
      <c r="C9" s="9"/>
      <c r="D9" s="9"/>
      <c r="E9" s="9"/>
      <c r="F9" s="9">
        <v>1780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>
        <f t="shared" si="0"/>
        <v>1780</v>
      </c>
    </row>
    <row r="10" spans="1:28">
      <c r="B10" t="s">
        <v>60</v>
      </c>
      <c r="C10" s="9"/>
      <c r="D10" s="9"/>
      <c r="E10" s="9"/>
      <c r="F10" s="9">
        <v>89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>
        <f t="shared" si="0"/>
        <v>89</v>
      </c>
    </row>
    <row r="11" spans="1:28">
      <c r="A11" t="s">
        <v>457</v>
      </c>
      <c r="B11" t="s">
        <v>456</v>
      </c>
      <c r="C11" s="9"/>
      <c r="D11" s="9"/>
      <c r="E11" s="9"/>
      <c r="F11" s="9"/>
      <c r="G11" s="9"/>
      <c r="H11" s="9">
        <v>1512000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>
        <f t="shared" si="0"/>
        <v>1512000</v>
      </c>
    </row>
    <row r="12" spans="1:28">
      <c r="B12" t="s">
        <v>60</v>
      </c>
      <c r="C12" s="9"/>
      <c r="D12" s="9"/>
      <c r="E12" s="9"/>
      <c r="F12" s="9">
        <v>100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>
        <f t="shared" si="0"/>
        <v>100</v>
      </c>
    </row>
    <row r="13" spans="1:28">
      <c r="B13" t="s">
        <v>458</v>
      </c>
      <c r="C13" s="9"/>
      <c r="D13" s="9"/>
      <c r="E13" s="9"/>
      <c r="F13" s="9"/>
      <c r="G13" s="9"/>
      <c r="H13" s="9"/>
      <c r="I13" s="9"/>
      <c r="J13" s="9"/>
      <c r="K13" s="9"/>
      <c r="L13" s="9">
        <v>13500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>
        <f t="shared" si="0"/>
        <v>13500</v>
      </c>
    </row>
    <row r="14" spans="1:28">
      <c r="B14" t="s">
        <v>100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201871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>
        <f t="shared" si="0"/>
        <v>201871</v>
      </c>
    </row>
    <row r="15" spans="1:28">
      <c r="B15" t="s">
        <v>60</v>
      </c>
      <c r="C15" s="9"/>
      <c r="D15" s="9"/>
      <c r="E15" s="9"/>
      <c r="F15" s="9">
        <v>6478.74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>
        <f t="shared" si="0"/>
        <v>6478.74</v>
      </c>
    </row>
    <row r="16" spans="1:28">
      <c r="B16" t="s">
        <v>60</v>
      </c>
      <c r="C16" s="9"/>
      <c r="D16" s="9"/>
      <c r="E16" s="9"/>
      <c r="F16" s="9">
        <v>323.94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>
        <f t="shared" si="0"/>
        <v>323.94</v>
      </c>
    </row>
    <row r="17" spans="1:28" ht="15" customHeight="1">
      <c r="A17" t="s">
        <v>460</v>
      </c>
      <c r="B17" s="177" t="s">
        <v>461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v>221681.25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>
        <f t="shared" si="0"/>
        <v>221681.25</v>
      </c>
    </row>
    <row r="18" spans="1:28">
      <c r="B18" t="s">
        <v>60</v>
      </c>
      <c r="C18" s="9"/>
      <c r="D18" s="9"/>
      <c r="E18" s="9"/>
      <c r="F18" s="9">
        <v>443.36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>
        <f t="shared" si="0"/>
        <v>443.36</v>
      </c>
    </row>
    <row r="19" spans="1:28">
      <c r="B19" t="s">
        <v>60</v>
      </c>
      <c r="C19" s="9"/>
      <c r="D19" s="9"/>
      <c r="E19" s="9"/>
      <c r="F19" s="9">
        <v>22.17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>
        <f t="shared" si="0"/>
        <v>22.17</v>
      </c>
    </row>
    <row r="20" spans="1:28">
      <c r="A20" t="s">
        <v>462</v>
      </c>
      <c r="B20" t="s">
        <v>463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165400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>
        <f t="shared" si="0"/>
        <v>165400</v>
      </c>
    </row>
    <row r="21" spans="1:28">
      <c r="B21" t="s">
        <v>458</v>
      </c>
      <c r="C21" s="9"/>
      <c r="D21" s="9"/>
      <c r="E21" s="9"/>
      <c r="F21" s="9"/>
      <c r="G21" s="9"/>
      <c r="H21" s="9"/>
      <c r="I21" s="9"/>
      <c r="J21" s="9"/>
      <c r="K21" s="9"/>
      <c r="L21" s="9">
        <v>13500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>
        <f t="shared" si="0"/>
        <v>13500</v>
      </c>
    </row>
    <row r="22" spans="1:28">
      <c r="B22" t="s">
        <v>465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75000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>
        <f t="shared" si="0"/>
        <v>75000</v>
      </c>
    </row>
    <row r="23" spans="1:28">
      <c r="B23" t="s">
        <v>467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v>200000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>
        <f t="shared" si="0"/>
        <v>200000</v>
      </c>
    </row>
    <row r="24" spans="1:28">
      <c r="B24" t="s">
        <v>467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40000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>
        <f t="shared" si="0"/>
        <v>40000</v>
      </c>
    </row>
    <row r="25" spans="1:28">
      <c r="B25" t="s">
        <v>467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v>98056.55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>
        <f t="shared" si="0"/>
        <v>98056.55</v>
      </c>
    </row>
    <row r="26" spans="1:28">
      <c r="B26" t="s">
        <v>60</v>
      </c>
      <c r="C26" s="9"/>
      <c r="D26" s="9"/>
      <c r="E26" s="9"/>
      <c r="F26" s="9">
        <v>1183.9100000000001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>
        <f t="shared" si="0"/>
        <v>1183.9100000000001</v>
      </c>
    </row>
    <row r="27" spans="1:28">
      <c r="B27" t="s">
        <v>60</v>
      </c>
      <c r="C27" s="9"/>
      <c r="D27" s="9"/>
      <c r="E27" s="9"/>
      <c r="F27" s="9">
        <v>59.2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>
        <f t="shared" si="0"/>
        <v>59.2</v>
      </c>
    </row>
    <row r="28" spans="1:28">
      <c r="A28" t="s">
        <v>468</v>
      </c>
      <c r="B28" t="s">
        <v>60</v>
      </c>
      <c r="C28" s="9"/>
      <c r="D28" s="9"/>
      <c r="E28" s="9"/>
      <c r="F28" s="9">
        <v>150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>
        <f t="shared" si="0"/>
        <v>150</v>
      </c>
    </row>
    <row r="29" spans="1:28">
      <c r="B29" t="s">
        <v>469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384800</v>
      </c>
      <c r="S29" s="9"/>
      <c r="T29" s="9"/>
      <c r="U29" s="9"/>
      <c r="V29" s="9"/>
      <c r="W29" s="9"/>
      <c r="X29" s="9"/>
      <c r="Y29" s="9"/>
      <c r="Z29" s="9"/>
      <c r="AA29" s="9"/>
      <c r="AB29" s="9">
        <f t="shared" si="0"/>
        <v>384800</v>
      </c>
    </row>
    <row r="30" spans="1:28">
      <c r="B30" t="s">
        <v>60</v>
      </c>
      <c r="C30" s="9"/>
      <c r="D30" s="9"/>
      <c r="E30" s="9"/>
      <c r="F30" s="9">
        <v>7.5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>
        <f t="shared" si="0"/>
        <v>7.5</v>
      </c>
    </row>
    <row r="31" spans="1:28">
      <c r="B31" t="s">
        <v>470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69840</v>
      </c>
      <c r="S31" s="9"/>
      <c r="T31" s="9"/>
      <c r="U31" s="9"/>
      <c r="V31" s="9"/>
      <c r="W31" s="9"/>
      <c r="X31" s="9"/>
      <c r="Y31" s="9"/>
      <c r="Z31" s="9"/>
      <c r="AA31" s="9"/>
      <c r="AB31" s="9">
        <f t="shared" si="0"/>
        <v>69840</v>
      </c>
    </row>
    <row r="32" spans="1:28">
      <c r="B32" t="s">
        <v>471</v>
      </c>
      <c r="C32" s="9">
        <v>148346.29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>
        <f t="shared" si="0"/>
        <v>148346.29</v>
      </c>
    </row>
    <row r="33" spans="1:28">
      <c r="B33" t="s">
        <v>472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>
        <v>105504.99</v>
      </c>
      <c r="U33" s="9"/>
      <c r="V33" s="9"/>
      <c r="W33" s="9"/>
      <c r="X33" s="9"/>
      <c r="Y33" s="9"/>
      <c r="Z33" s="9"/>
      <c r="AA33" s="9"/>
      <c r="AB33" s="9">
        <f t="shared" si="0"/>
        <v>105504.99</v>
      </c>
    </row>
    <row r="34" spans="1:28" ht="15" customHeight="1">
      <c r="B34" s="177" t="s">
        <v>473</v>
      </c>
      <c r="C34" s="9">
        <v>50000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>
        <f t="shared" si="0"/>
        <v>50000</v>
      </c>
    </row>
    <row r="35" spans="1:28">
      <c r="B35" t="s">
        <v>60</v>
      </c>
      <c r="C35" s="9"/>
      <c r="D35" s="9"/>
      <c r="E35" s="9"/>
      <c r="F35" s="9">
        <v>1516.98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>
        <f t="shared" si="0"/>
        <v>1516.98</v>
      </c>
    </row>
    <row r="36" spans="1:28">
      <c r="B36" t="s">
        <v>60</v>
      </c>
      <c r="C36" s="9"/>
      <c r="D36" s="9"/>
      <c r="E36" s="9"/>
      <c r="F36" s="9">
        <v>75.849999999999994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>
        <f t="shared" si="0"/>
        <v>75.849999999999994</v>
      </c>
    </row>
    <row r="37" spans="1:28">
      <c r="A37" t="s">
        <v>474</v>
      </c>
      <c r="B37" t="s">
        <v>514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>
        <v>290000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>
        <f t="shared" si="0"/>
        <v>290000</v>
      </c>
    </row>
    <row r="38" spans="1:28" ht="15" customHeight="1">
      <c r="B38" s="177" t="s">
        <v>526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>
        <v>79000</v>
      </c>
      <c r="V38" s="9"/>
      <c r="W38" s="9"/>
      <c r="X38" s="9"/>
      <c r="Y38" s="9"/>
      <c r="Z38" s="9"/>
      <c r="AA38" s="9"/>
      <c r="AB38" s="9">
        <f t="shared" si="0"/>
        <v>79000</v>
      </c>
    </row>
    <row r="39" spans="1:28">
      <c r="B39" t="s">
        <v>467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>
        <v>200000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f t="shared" si="0"/>
        <v>200000</v>
      </c>
    </row>
    <row r="40" spans="1:28">
      <c r="B40" t="s">
        <v>475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>
        <v>231120</v>
      </c>
      <c r="X40" s="9"/>
      <c r="Y40" s="9"/>
      <c r="Z40" s="9"/>
      <c r="AA40" s="9"/>
      <c r="AB40" s="9">
        <f t="shared" si="0"/>
        <v>231120</v>
      </c>
    </row>
    <row r="41" spans="1:28">
      <c r="B41" t="s">
        <v>479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>
        <v>30000</v>
      </c>
      <c r="Y41" s="9"/>
      <c r="Z41" s="9"/>
      <c r="AA41" s="9"/>
      <c r="AB41" s="9">
        <f t="shared" si="0"/>
        <v>30000</v>
      </c>
    </row>
    <row r="42" spans="1:28" ht="15" customHeight="1">
      <c r="B42" s="177" t="s">
        <v>480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>
        <v>240000</v>
      </c>
      <c r="AA42" s="9"/>
      <c r="AB42" s="9">
        <f t="shared" si="0"/>
        <v>240000</v>
      </c>
    </row>
    <row r="43" spans="1:28">
      <c r="B43" t="s">
        <v>60</v>
      </c>
      <c r="C43" s="9"/>
      <c r="D43" s="9"/>
      <c r="E43" s="9"/>
      <c r="F43" s="9">
        <v>2140.2399999999998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>
        <f t="shared" si="0"/>
        <v>2140.2399999999998</v>
      </c>
    </row>
    <row r="44" spans="1:28">
      <c r="B44" t="s">
        <v>60</v>
      </c>
      <c r="C44" s="9"/>
      <c r="D44" s="9"/>
      <c r="E44" s="9"/>
      <c r="F44" s="9">
        <v>107.01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0"/>
        <v>107.01</v>
      </c>
    </row>
    <row r="45" spans="1:28" ht="15.75" thickBot="1">
      <c r="B45" s="178" t="s">
        <v>481</v>
      </c>
      <c r="C45" s="179">
        <f>SUM(C3:C44)</f>
        <v>1688346.29</v>
      </c>
      <c r="D45" s="179"/>
      <c r="E45" s="179"/>
      <c r="F45" s="179">
        <f t="shared" ref="F45:AB45" si="1">SUM(F3:F44)</f>
        <v>17837.899999999998</v>
      </c>
      <c r="G45" s="179"/>
      <c r="H45" s="179">
        <f t="shared" si="1"/>
        <v>1512000</v>
      </c>
      <c r="I45" s="179"/>
      <c r="J45" s="179"/>
      <c r="K45" s="179"/>
      <c r="L45" s="179">
        <f t="shared" si="1"/>
        <v>27000</v>
      </c>
      <c r="M45" s="179">
        <f t="shared" si="1"/>
        <v>201871</v>
      </c>
      <c r="N45" s="179">
        <f t="shared" si="1"/>
        <v>221681.25</v>
      </c>
      <c r="O45" s="179">
        <f t="shared" si="1"/>
        <v>455400</v>
      </c>
      <c r="P45" s="179">
        <f t="shared" si="1"/>
        <v>75000</v>
      </c>
      <c r="Q45" s="179">
        <f t="shared" si="1"/>
        <v>538056.55000000005</v>
      </c>
      <c r="R45" s="179">
        <f t="shared" si="1"/>
        <v>454640</v>
      </c>
      <c r="S45" s="179"/>
      <c r="T45" s="179">
        <f t="shared" si="1"/>
        <v>105504.99</v>
      </c>
      <c r="U45" s="179">
        <f t="shared" si="1"/>
        <v>79000</v>
      </c>
      <c r="V45" s="179"/>
      <c r="W45" s="179">
        <f t="shared" si="1"/>
        <v>231120</v>
      </c>
      <c r="X45" s="179">
        <f t="shared" si="1"/>
        <v>30000</v>
      </c>
      <c r="Y45" s="179"/>
      <c r="Z45" s="179">
        <f t="shared" si="1"/>
        <v>240000</v>
      </c>
      <c r="AA45" s="179"/>
      <c r="AB45" s="179">
        <f t="shared" si="1"/>
        <v>5877457.9800000004</v>
      </c>
    </row>
    <row r="46" spans="1:28">
      <c r="A46" s="180"/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</row>
    <row r="47" spans="1:28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>
        <f>SUM(C47:AA47)</f>
        <v>0</v>
      </c>
    </row>
    <row r="48" spans="1:28">
      <c r="A48" s="5">
        <v>2</v>
      </c>
      <c r="B48" s="1" t="s">
        <v>428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>
        <f t="shared" ref="AB48:AB111" si="2">SUM(C48:AA48)</f>
        <v>0</v>
      </c>
    </row>
    <row r="49" spans="1:28">
      <c r="A49" t="s">
        <v>482</v>
      </c>
      <c r="B49" t="s">
        <v>60</v>
      </c>
      <c r="C49" s="9"/>
      <c r="D49" s="9"/>
      <c r="E49" s="9"/>
      <c r="F49" s="9">
        <v>216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2"/>
        <v>216</v>
      </c>
    </row>
    <row r="50" spans="1:28" ht="15" customHeight="1">
      <c r="B50" s="177" t="s">
        <v>483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>
        <v>538552</v>
      </c>
      <c r="AB50" s="9">
        <f t="shared" si="2"/>
        <v>538552</v>
      </c>
    </row>
    <row r="51" spans="1:28">
      <c r="B51" t="s">
        <v>60</v>
      </c>
      <c r="C51" s="9"/>
      <c r="D51" s="9"/>
      <c r="E51" s="9"/>
      <c r="F51" s="9">
        <v>3000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2"/>
        <v>3000</v>
      </c>
    </row>
    <row r="52" spans="1:28">
      <c r="B52" t="s">
        <v>60</v>
      </c>
      <c r="C52" s="9"/>
      <c r="D52" s="9"/>
      <c r="E52" s="9"/>
      <c r="F52" s="9">
        <v>3000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>
        <f t="shared" si="2"/>
        <v>3000</v>
      </c>
    </row>
    <row r="53" spans="1:28" ht="15" customHeight="1">
      <c r="B53" s="177" t="s">
        <v>483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>
        <v>285232.5</v>
      </c>
      <c r="AB53" s="9">
        <f t="shared" si="2"/>
        <v>285232.5</v>
      </c>
    </row>
    <row r="54" spans="1:28">
      <c r="B54" t="s">
        <v>484</v>
      </c>
      <c r="C54" s="9"/>
      <c r="D54" s="9"/>
      <c r="E54" s="9"/>
      <c r="F54" s="9"/>
      <c r="G54" s="9"/>
      <c r="H54" s="9">
        <v>3697084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>
        <f t="shared" si="2"/>
        <v>3697084</v>
      </c>
    </row>
    <row r="55" spans="1:28" ht="15" customHeight="1">
      <c r="B55" s="177" t="s">
        <v>485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>
        <v>204992</v>
      </c>
      <c r="Z55" s="9"/>
      <c r="AA55" s="9"/>
      <c r="AB55" s="9">
        <f t="shared" si="2"/>
        <v>204992</v>
      </c>
    </row>
    <row r="56" spans="1:28">
      <c r="B56" t="s">
        <v>467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>
        <v>200000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>
        <f t="shared" si="2"/>
        <v>200000</v>
      </c>
    </row>
    <row r="57" spans="1:28">
      <c r="B57" t="s">
        <v>467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40000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>
        <f t="shared" si="2"/>
        <v>40000</v>
      </c>
    </row>
    <row r="58" spans="1:28">
      <c r="B58" t="s">
        <v>60</v>
      </c>
      <c r="F58">
        <v>700</v>
      </c>
      <c r="AB58" s="9">
        <f t="shared" si="2"/>
        <v>700</v>
      </c>
    </row>
    <row r="59" spans="1:28">
      <c r="B59" t="s">
        <v>486</v>
      </c>
      <c r="C59" s="9">
        <v>17400000</v>
      </c>
      <c r="D59" s="9"/>
      <c r="E59" s="9"/>
      <c r="AB59" s="9">
        <f t="shared" si="2"/>
        <v>17400000</v>
      </c>
    </row>
    <row r="60" spans="1:28">
      <c r="B60" t="s">
        <v>487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v>629230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>
        <f t="shared" si="2"/>
        <v>629230</v>
      </c>
    </row>
    <row r="61" spans="1:28">
      <c r="B61" t="s">
        <v>488</v>
      </c>
      <c r="C61" s="9">
        <v>674000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>
        <f t="shared" si="2"/>
        <v>674000</v>
      </c>
    </row>
    <row r="62" spans="1:28">
      <c r="B62" t="s">
        <v>489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>
        <v>75000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>
        <f t="shared" si="2"/>
        <v>75000</v>
      </c>
    </row>
    <row r="63" spans="1:28">
      <c r="B63" t="s">
        <v>235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>
        <v>253126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>
        <f t="shared" si="2"/>
        <v>253126</v>
      </c>
    </row>
    <row r="64" spans="1:28">
      <c r="B64" t="s">
        <v>60</v>
      </c>
      <c r="C64" s="9"/>
      <c r="D64" s="9"/>
      <c r="E64" s="9"/>
      <c r="F64" s="9">
        <v>1300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>
        <f t="shared" si="2"/>
        <v>1300</v>
      </c>
    </row>
    <row r="65" spans="2:28">
      <c r="B65" t="s">
        <v>490</v>
      </c>
      <c r="C65" s="9"/>
      <c r="D65" s="9"/>
      <c r="E65" s="9">
        <v>1875000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>
        <f t="shared" si="2"/>
        <v>1875000</v>
      </c>
    </row>
    <row r="66" spans="2:28">
      <c r="B66" t="s">
        <v>491</v>
      </c>
      <c r="C66" s="9"/>
      <c r="D66" s="9"/>
      <c r="E66" s="9"/>
      <c r="F66" s="9"/>
      <c r="G66" s="9">
        <v>464150.61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>
        <f t="shared" si="2"/>
        <v>464150.61</v>
      </c>
    </row>
    <row r="67" spans="2:28">
      <c r="B67" t="s">
        <v>494</v>
      </c>
      <c r="C67" s="9"/>
      <c r="D67" s="9">
        <v>2000000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>
        <f t="shared" si="2"/>
        <v>2000000</v>
      </c>
    </row>
    <row r="68" spans="2:28">
      <c r="B68" t="s">
        <v>495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>
        <v>144372</v>
      </c>
      <c r="X68" s="9"/>
      <c r="Y68" s="9"/>
      <c r="Z68" s="9"/>
      <c r="AA68" s="9"/>
      <c r="AB68" s="9">
        <f t="shared" si="2"/>
        <v>144372</v>
      </c>
    </row>
    <row r="69" spans="2:28">
      <c r="B69" t="s">
        <v>494</v>
      </c>
      <c r="C69" s="9"/>
      <c r="D69" s="9">
        <v>3000000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>
        <f t="shared" si="2"/>
        <v>3000000</v>
      </c>
    </row>
    <row r="70" spans="2:28">
      <c r="B70" t="s">
        <v>496</v>
      </c>
      <c r="C70" s="9"/>
      <c r="D70" s="9"/>
      <c r="E70" s="9"/>
      <c r="F70" s="9"/>
      <c r="G70" s="9"/>
      <c r="H70" s="9"/>
      <c r="I70" s="9">
        <v>81961.16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>
        <f t="shared" si="2"/>
        <v>81961.16</v>
      </c>
    </row>
    <row r="71" spans="2:28">
      <c r="B71" t="s">
        <v>498</v>
      </c>
      <c r="C71" s="9"/>
      <c r="D71" s="9"/>
      <c r="E71" s="9"/>
      <c r="F71" s="9"/>
      <c r="G71" s="9"/>
      <c r="H71" s="9"/>
      <c r="I71" s="9"/>
      <c r="J71" s="9">
        <v>259642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>
        <f t="shared" si="2"/>
        <v>259642</v>
      </c>
    </row>
    <row r="72" spans="2:28">
      <c r="B72" t="s">
        <v>494</v>
      </c>
      <c r="C72" s="9"/>
      <c r="D72" s="9">
        <v>3000000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>
        <f t="shared" si="2"/>
        <v>3000000</v>
      </c>
    </row>
    <row r="73" spans="2:28">
      <c r="B73" t="s">
        <v>467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v>137380.75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>
        <f t="shared" si="2"/>
        <v>137380.75</v>
      </c>
    </row>
    <row r="74" spans="2:28">
      <c r="B74" t="s">
        <v>484</v>
      </c>
      <c r="C74" s="9"/>
      <c r="D74" s="9"/>
      <c r="E74" s="9"/>
      <c r="F74" s="9"/>
      <c r="G74" s="9"/>
      <c r="H74" s="9">
        <v>1661000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>
        <f t="shared" si="2"/>
        <v>1661000</v>
      </c>
    </row>
    <row r="75" spans="2:28">
      <c r="B75" t="s">
        <v>500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>
        <v>62651.03</v>
      </c>
      <c r="U75" s="9"/>
      <c r="V75" s="9"/>
      <c r="W75" s="9"/>
      <c r="X75" s="9"/>
      <c r="Y75" s="9"/>
      <c r="Z75" s="9"/>
      <c r="AA75" s="9"/>
      <c r="AB75" s="9">
        <f t="shared" si="2"/>
        <v>62651.03</v>
      </c>
    </row>
    <row r="76" spans="2:28">
      <c r="B76" t="s">
        <v>467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>
        <v>200000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>
        <f t="shared" si="2"/>
        <v>200000</v>
      </c>
    </row>
    <row r="77" spans="2:28">
      <c r="B77" t="s">
        <v>494</v>
      </c>
      <c r="C77" s="9"/>
      <c r="D77" s="9">
        <v>3000000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>
        <f t="shared" si="2"/>
        <v>3000000</v>
      </c>
    </row>
    <row r="78" spans="2:28">
      <c r="B78" t="s">
        <v>458</v>
      </c>
      <c r="C78" s="9"/>
      <c r="D78" s="9"/>
      <c r="E78" s="9"/>
      <c r="F78" s="9"/>
      <c r="G78" s="9"/>
      <c r="H78" s="9"/>
      <c r="I78" s="9"/>
      <c r="J78" s="9"/>
      <c r="K78" s="9"/>
      <c r="L78" s="9">
        <v>13500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>
        <f t="shared" si="2"/>
        <v>13500</v>
      </c>
    </row>
    <row r="79" spans="2:28">
      <c r="B79" t="s">
        <v>501</v>
      </c>
      <c r="C79" s="9"/>
      <c r="D79" s="9"/>
      <c r="E79" s="9">
        <v>635500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>
        <f t="shared" si="2"/>
        <v>635500</v>
      </c>
    </row>
    <row r="80" spans="2:28">
      <c r="B80" t="s">
        <v>502</v>
      </c>
      <c r="C80" s="9"/>
      <c r="D80" s="9"/>
      <c r="E80" s="9">
        <v>125650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>
        <f t="shared" si="2"/>
        <v>125650</v>
      </c>
    </row>
    <row r="81" spans="1:28">
      <c r="B81" t="s">
        <v>502</v>
      </c>
      <c r="C81" s="9"/>
      <c r="D81" s="9"/>
      <c r="E81" s="9">
        <v>125650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>
        <f t="shared" si="2"/>
        <v>125650</v>
      </c>
    </row>
    <row r="82" spans="1:28">
      <c r="B82" t="s">
        <v>503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>
        <v>228900</v>
      </c>
      <c r="V82" s="9"/>
      <c r="W82" s="9"/>
      <c r="X82" s="9"/>
      <c r="Y82" s="9"/>
      <c r="Z82" s="9"/>
      <c r="AA82" s="9"/>
      <c r="AB82" s="9">
        <f t="shared" si="2"/>
        <v>228900</v>
      </c>
    </row>
    <row r="83" spans="1:28">
      <c r="B83" t="s">
        <v>494</v>
      </c>
      <c r="C83" s="9"/>
      <c r="D83" s="9">
        <v>3000000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>
        <f t="shared" si="2"/>
        <v>3000000</v>
      </c>
    </row>
    <row r="84" spans="1:28">
      <c r="B84" t="s">
        <v>60</v>
      </c>
      <c r="C84" s="9"/>
      <c r="D84" s="9"/>
      <c r="E84" s="9"/>
      <c r="F84" s="9">
        <v>88039.18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>
        <f t="shared" si="2"/>
        <v>88039.18</v>
      </c>
    </row>
    <row r="85" spans="1:28">
      <c r="B85" t="s">
        <v>60</v>
      </c>
      <c r="C85" s="9"/>
      <c r="D85" s="9"/>
      <c r="E85" s="9"/>
      <c r="F85" s="9">
        <v>4401.9799999999996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>
        <f t="shared" si="2"/>
        <v>4401.9799999999996</v>
      </c>
    </row>
    <row r="86" spans="1:28">
      <c r="B86" t="s">
        <v>60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>
        <f t="shared" si="2"/>
        <v>0</v>
      </c>
    </row>
    <row r="87" spans="1:28">
      <c r="A87" t="s">
        <v>504</v>
      </c>
      <c r="B87" t="s">
        <v>494</v>
      </c>
      <c r="C87" s="9"/>
      <c r="D87" s="9">
        <v>3000000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>
        <f t="shared" si="2"/>
        <v>3000000</v>
      </c>
    </row>
    <row r="88" spans="1:28">
      <c r="B88" t="s">
        <v>484</v>
      </c>
      <c r="C88" s="9"/>
      <c r="D88" s="9"/>
      <c r="E88" s="9"/>
      <c r="F88" s="9"/>
      <c r="G88" s="9"/>
      <c r="H88" s="9">
        <v>1512000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>
        <f t="shared" si="2"/>
        <v>1512000</v>
      </c>
    </row>
    <row r="89" spans="1:28">
      <c r="B89" t="s">
        <v>60</v>
      </c>
      <c r="C89" s="9"/>
      <c r="D89" s="9"/>
      <c r="E89" s="9"/>
      <c r="F89" s="9">
        <v>800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>
        <f t="shared" si="2"/>
        <v>800</v>
      </c>
    </row>
    <row r="90" spans="1:28">
      <c r="B90" t="s">
        <v>467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>
        <v>2843268.05</v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>
        <f t="shared" si="2"/>
        <v>2843268.05</v>
      </c>
    </row>
    <row r="91" spans="1:28">
      <c r="B91" t="s">
        <v>60</v>
      </c>
      <c r="C91" s="9"/>
      <c r="D91" s="9"/>
      <c r="E91" s="9"/>
      <c r="F91" s="9">
        <v>300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>
        <f t="shared" si="2"/>
        <v>300</v>
      </c>
    </row>
    <row r="92" spans="1:28">
      <c r="B92" t="s">
        <v>60</v>
      </c>
      <c r="C92" s="9"/>
      <c r="D92" s="9"/>
      <c r="E92" s="9"/>
      <c r="F92" s="9">
        <v>15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>
        <f t="shared" si="2"/>
        <v>15</v>
      </c>
    </row>
    <row r="93" spans="1:28">
      <c r="B93" t="s">
        <v>60</v>
      </c>
      <c r="C93" s="9"/>
      <c r="D93" s="9"/>
      <c r="E93" s="9"/>
      <c r="F93" s="9">
        <v>300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>
        <f t="shared" si="2"/>
        <v>300</v>
      </c>
    </row>
    <row r="94" spans="1:28">
      <c r="B94" t="s">
        <v>60</v>
      </c>
      <c r="C94" s="9"/>
      <c r="D94" s="9"/>
      <c r="E94" s="9"/>
      <c r="F94" s="9">
        <v>15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>
        <f t="shared" si="2"/>
        <v>15</v>
      </c>
    </row>
    <row r="95" spans="1:28">
      <c r="B95" t="s">
        <v>235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>
        <v>255160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>
        <f t="shared" si="2"/>
        <v>255160</v>
      </c>
    </row>
    <row r="96" spans="1:28">
      <c r="B96" t="s">
        <v>467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>
        <v>310000</v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>
        <f t="shared" si="2"/>
        <v>310000</v>
      </c>
    </row>
    <row r="97" spans="2:28">
      <c r="B97" t="s">
        <v>467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>
        <v>660000</v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9">
        <f t="shared" si="2"/>
        <v>660000</v>
      </c>
    </row>
    <row r="98" spans="2:28">
      <c r="B98" t="s">
        <v>484</v>
      </c>
      <c r="C98" s="9"/>
      <c r="D98" s="9"/>
      <c r="E98" s="9"/>
      <c r="F98" s="9"/>
      <c r="G98" s="9"/>
      <c r="H98" s="9">
        <v>1661000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>
        <f t="shared" si="2"/>
        <v>1661000</v>
      </c>
    </row>
    <row r="99" spans="2:28">
      <c r="B99" t="s">
        <v>495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>
        <v>144372</v>
      </c>
      <c r="X99" s="9"/>
      <c r="Y99" s="9"/>
      <c r="Z99" s="9"/>
      <c r="AA99" s="9"/>
      <c r="AB99" s="9">
        <f t="shared" si="2"/>
        <v>144372</v>
      </c>
    </row>
    <row r="100" spans="2:28">
      <c r="B100" t="s">
        <v>505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>
        <v>1685000</v>
      </c>
      <c r="W100" s="9"/>
      <c r="X100" s="9"/>
      <c r="Y100" s="9"/>
      <c r="Z100" s="9"/>
      <c r="AA100" s="9"/>
      <c r="AB100" s="9">
        <f t="shared" si="2"/>
        <v>1685000</v>
      </c>
    </row>
    <row r="101" spans="2:28">
      <c r="B101" t="s">
        <v>507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>
        <v>140100</v>
      </c>
      <c r="X101" s="9"/>
      <c r="Y101" s="9"/>
      <c r="Z101" s="9"/>
      <c r="AA101" s="9"/>
      <c r="AB101" s="9">
        <f t="shared" si="2"/>
        <v>140100</v>
      </c>
    </row>
    <row r="102" spans="2:28">
      <c r="B102" t="s">
        <v>494</v>
      </c>
      <c r="C102" s="9"/>
      <c r="D102" s="9">
        <v>3000000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>
        <f t="shared" si="2"/>
        <v>3000000</v>
      </c>
    </row>
    <row r="103" spans="2:28">
      <c r="B103" t="s">
        <v>490</v>
      </c>
      <c r="C103" s="9"/>
      <c r="D103" s="9"/>
      <c r="E103" s="9">
        <v>1875000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>
        <f t="shared" si="2"/>
        <v>1875000</v>
      </c>
    </row>
    <row r="104" spans="2:28">
      <c r="B104" t="s">
        <v>487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>
        <v>384010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>
        <f t="shared" si="2"/>
        <v>384010</v>
      </c>
    </row>
    <row r="105" spans="2:28">
      <c r="B105" t="s">
        <v>494</v>
      </c>
      <c r="C105" s="9"/>
      <c r="D105" s="9">
        <v>3000000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>
        <f t="shared" si="2"/>
        <v>3000000</v>
      </c>
    </row>
    <row r="106" spans="2:28">
      <c r="B106" t="s">
        <v>60</v>
      </c>
      <c r="C106" s="9"/>
      <c r="D106" s="9"/>
      <c r="E106" s="9"/>
      <c r="F106" s="9">
        <v>500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>
        <f t="shared" si="2"/>
        <v>500</v>
      </c>
    </row>
    <row r="107" spans="2:28">
      <c r="B107" t="s">
        <v>60</v>
      </c>
      <c r="C107" s="9"/>
      <c r="D107" s="9"/>
      <c r="E107" s="9"/>
      <c r="F107" s="9">
        <v>500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>
        <f t="shared" si="2"/>
        <v>500</v>
      </c>
    </row>
    <row r="108" spans="2:28">
      <c r="B108" t="s">
        <v>60</v>
      </c>
      <c r="C108" s="9"/>
      <c r="D108" s="9"/>
      <c r="E108" s="9"/>
      <c r="F108" s="9">
        <v>500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>
        <f t="shared" si="2"/>
        <v>500</v>
      </c>
    </row>
    <row r="109" spans="2:28">
      <c r="B109" t="s">
        <v>508</v>
      </c>
      <c r="C109" s="9"/>
      <c r="D109" s="9"/>
      <c r="E109" s="9">
        <v>8555000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>
        <f t="shared" si="2"/>
        <v>8555000</v>
      </c>
    </row>
    <row r="110" spans="2:28">
      <c r="B110" t="s">
        <v>509</v>
      </c>
      <c r="C110" s="9"/>
      <c r="D110" s="9"/>
      <c r="E110" s="9">
        <v>8475000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>
        <f t="shared" si="2"/>
        <v>8475000</v>
      </c>
    </row>
    <row r="111" spans="2:28">
      <c r="B111" t="s">
        <v>510</v>
      </c>
      <c r="C111" s="9"/>
      <c r="D111" s="9"/>
      <c r="E111" s="9">
        <v>17200000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>
        <f t="shared" si="2"/>
        <v>17200000</v>
      </c>
    </row>
    <row r="112" spans="2:28">
      <c r="B112" t="s">
        <v>511</v>
      </c>
      <c r="C112" s="9"/>
      <c r="D112" s="9"/>
      <c r="E112" s="9">
        <v>10000000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>
        <f t="shared" ref="AB112:AB175" si="3">SUM(C112:AA112)</f>
        <v>10000000</v>
      </c>
    </row>
    <row r="113" spans="2:28">
      <c r="B113" t="s">
        <v>60</v>
      </c>
      <c r="C113" s="9"/>
      <c r="D113" s="9"/>
      <c r="E113" s="9"/>
      <c r="F113" s="9">
        <v>700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>
        <f t="shared" si="3"/>
        <v>700</v>
      </c>
    </row>
    <row r="114" spans="2:28">
      <c r="B114" t="s">
        <v>512</v>
      </c>
      <c r="C114" s="9"/>
      <c r="D114" s="9"/>
      <c r="E114" s="9">
        <v>50000000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>
        <f t="shared" si="3"/>
        <v>50000000</v>
      </c>
    </row>
    <row r="115" spans="2:28">
      <c r="B115" t="s">
        <v>467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>
        <v>200000</v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>
        <f t="shared" si="3"/>
        <v>200000</v>
      </c>
    </row>
    <row r="116" spans="2:28">
      <c r="B116" t="s">
        <v>467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>
        <v>40000</v>
      </c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>
        <f t="shared" si="3"/>
        <v>40000</v>
      </c>
    </row>
    <row r="117" spans="2:28">
      <c r="B117" t="s">
        <v>489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>
        <v>75000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>
        <f t="shared" si="3"/>
        <v>75000</v>
      </c>
    </row>
    <row r="118" spans="2:28">
      <c r="B118" t="s">
        <v>496</v>
      </c>
      <c r="C118" s="9"/>
      <c r="D118" s="9"/>
      <c r="E118" s="9"/>
      <c r="F118" s="9"/>
      <c r="G118" s="9"/>
      <c r="H118" s="9"/>
      <c r="I118" s="9">
        <v>81718.44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>
        <f t="shared" si="3"/>
        <v>81718.44</v>
      </c>
    </row>
    <row r="119" spans="2:28">
      <c r="B119" t="s">
        <v>494</v>
      </c>
      <c r="C119" s="9"/>
      <c r="D119" s="9">
        <v>3000000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>
        <f t="shared" si="3"/>
        <v>3000000</v>
      </c>
    </row>
    <row r="120" spans="2:28">
      <c r="B120" t="s">
        <v>490</v>
      </c>
      <c r="C120" s="9"/>
      <c r="D120" s="9"/>
      <c r="E120" s="9">
        <v>10000000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>
        <f t="shared" si="3"/>
        <v>10000000</v>
      </c>
    </row>
    <row r="121" spans="2:28">
      <c r="B121" t="s">
        <v>490</v>
      </c>
      <c r="C121" s="9"/>
      <c r="D121" s="9"/>
      <c r="E121" s="9">
        <v>5000000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>
        <f t="shared" si="3"/>
        <v>5000000</v>
      </c>
    </row>
    <row r="122" spans="2:28">
      <c r="B122" t="s">
        <v>491</v>
      </c>
      <c r="C122" s="9"/>
      <c r="D122" s="9"/>
      <c r="E122" s="9"/>
      <c r="F122" s="9"/>
      <c r="G122" s="9">
        <v>944576.53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>
        <f t="shared" si="3"/>
        <v>944576.53</v>
      </c>
    </row>
    <row r="123" spans="2:28">
      <c r="B123" t="s">
        <v>486</v>
      </c>
      <c r="C123" s="9"/>
      <c r="D123" s="9"/>
      <c r="E123" s="9">
        <v>8510000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>
        <f t="shared" si="3"/>
        <v>8510000</v>
      </c>
    </row>
    <row r="124" spans="2:28">
      <c r="B124" t="s">
        <v>494</v>
      </c>
      <c r="C124" s="9"/>
      <c r="D124" s="9">
        <v>200000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>
        <f t="shared" si="3"/>
        <v>200000</v>
      </c>
    </row>
    <row r="125" spans="2:28">
      <c r="B125" t="s">
        <v>60</v>
      </c>
      <c r="C125" s="9"/>
      <c r="D125" s="9"/>
      <c r="E125" s="9"/>
      <c r="F125" s="9">
        <v>500</v>
      </c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>
        <f t="shared" si="3"/>
        <v>500</v>
      </c>
    </row>
    <row r="126" spans="2:28">
      <c r="B126" t="s">
        <v>513</v>
      </c>
      <c r="C126" s="9"/>
      <c r="D126" s="9"/>
      <c r="E126" s="9">
        <v>8350000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>
        <f t="shared" si="3"/>
        <v>8350000</v>
      </c>
    </row>
    <row r="127" spans="2:28">
      <c r="B127" t="s">
        <v>514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>
        <v>3967325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f t="shared" si="3"/>
        <v>3967325</v>
      </c>
    </row>
    <row r="128" spans="2:28">
      <c r="B128" t="s">
        <v>490</v>
      </c>
      <c r="C128" s="9"/>
      <c r="D128" s="9"/>
      <c r="E128" s="9">
        <v>5500000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>
        <f t="shared" si="3"/>
        <v>5500000</v>
      </c>
    </row>
    <row r="129" spans="1:28">
      <c r="B129" t="s">
        <v>490</v>
      </c>
      <c r="C129" s="9"/>
      <c r="D129" s="9"/>
      <c r="E129" s="9">
        <v>6000000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>
        <f t="shared" si="3"/>
        <v>6000000</v>
      </c>
    </row>
    <row r="130" spans="1:28">
      <c r="B130" t="s">
        <v>484</v>
      </c>
      <c r="C130" s="9"/>
      <c r="D130" s="9"/>
      <c r="E130" s="9"/>
      <c r="F130" s="9"/>
      <c r="G130" s="9"/>
      <c r="H130" s="9">
        <v>1661000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>
        <f t="shared" si="3"/>
        <v>1661000</v>
      </c>
    </row>
    <row r="131" spans="1:28">
      <c r="B131" t="s">
        <v>458</v>
      </c>
      <c r="C131" s="9"/>
      <c r="D131" s="9"/>
      <c r="E131" s="9"/>
      <c r="F131" s="9"/>
      <c r="G131" s="9"/>
      <c r="H131" s="9"/>
      <c r="I131" s="9"/>
      <c r="J131" s="9"/>
      <c r="K131" s="9"/>
      <c r="L131" s="9">
        <v>13500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>
        <f t="shared" si="3"/>
        <v>13500</v>
      </c>
    </row>
    <row r="132" spans="1:28">
      <c r="B132" t="s">
        <v>487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>
        <v>695440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>
        <f t="shared" si="3"/>
        <v>695440</v>
      </c>
    </row>
    <row r="133" spans="1:28">
      <c r="B133" t="s">
        <v>515</v>
      </c>
      <c r="C133" s="9">
        <v>642600</v>
      </c>
      <c r="D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>
        <f>SUM(C133:AA133)</f>
        <v>642600</v>
      </c>
    </row>
    <row r="134" spans="1:28">
      <c r="B134" t="s">
        <v>484</v>
      </c>
      <c r="C134" s="9"/>
      <c r="D134" s="9"/>
      <c r="E134" s="9"/>
      <c r="F134" s="9"/>
      <c r="G134" s="9"/>
      <c r="H134" s="9">
        <v>1570400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>
        <f t="shared" si="3"/>
        <v>1570400</v>
      </c>
    </row>
    <row r="135" spans="1:28">
      <c r="B135" t="s">
        <v>60</v>
      </c>
      <c r="C135" s="9"/>
      <c r="D135" s="9"/>
      <c r="E135" s="9"/>
      <c r="F135" s="9">
        <v>342310.35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>
        <f t="shared" si="3"/>
        <v>342310.35</v>
      </c>
    </row>
    <row r="136" spans="1:28">
      <c r="B136" t="s">
        <v>60</v>
      </c>
      <c r="C136" s="9"/>
      <c r="D136" s="9"/>
      <c r="E136" s="9"/>
      <c r="F136" s="9">
        <v>17117.52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>
        <f t="shared" si="3"/>
        <v>17117.52</v>
      </c>
    </row>
    <row r="137" spans="1:28">
      <c r="A137" t="s">
        <v>400</v>
      </c>
      <c r="B137" t="s">
        <v>516</v>
      </c>
      <c r="C137" s="9"/>
      <c r="D137" s="9"/>
      <c r="E137" s="9"/>
      <c r="F137" s="9"/>
      <c r="G137" s="9"/>
      <c r="H137" s="9">
        <v>7374500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>
        <f t="shared" si="3"/>
        <v>7374500</v>
      </c>
    </row>
    <row r="138" spans="1:28">
      <c r="B138" t="s">
        <v>516</v>
      </c>
      <c r="C138" s="9"/>
      <c r="D138" s="9"/>
      <c r="E138" s="9"/>
      <c r="F138" s="9"/>
      <c r="G138" s="9"/>
      <c r="H138" s="9">
        <v>7374500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>
        <f t="shared" si="3"/>
        <v>7374500</v>
      </c>
    </row>
    <row r="139" spans="1:28">
      <c r="B139" t="s">
        <v>484</v>
      </c>
      <c r="C139" s="9"/>
      <c r="D139" s="9"/>
      <c r="E139" s="9"/>
      <c r="F139" s="9"/>
      <c r="G139" s="9"/>
      <c r="H139" s="9">
        <v>1543500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>
        <f t="shared" si="3"/>
        <v>1543500</v>
      </c>
    </row>
    <row r="140" spans="1:28">
      <c r="B140" t="s">
        <v>60</v>
      </c>
      <c r="C140" s="9"/>
      <c r="D140" s="9"/>
      <c r="E140" s="9"/>
      <c r="F140" s="9">
        <v>800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>
        <f t="shared" si="3"/>
        <v>800</v>
      </c>
    </row>
    <row r="141" spans="1:28">
      <c r="B141" t="s">
        <v>517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>
        <v>560000</v>
      </c>
      <c r="AB141" s="9">
        <f t="shared" si="3"/>
        <v>560000</v>
      </c>
    </row>
    <row r="142" spans="1:28">
      <c r="B142" t="s">
        <v>518</v>
      </c>
      <c r="C142" s="9"/>
      <c r="D142" s="9"/>
      <c r="E142" s="9">
        <v>8560000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>
        <f t="shared" si="3"/>
        <v>8560000</v>
      </c>
    </row>
    <row r="143" spans="1:28">
      <c r="B143" t="s">
        <v>519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>
        <v>38000</v>
      </c>
      <c r="T143" s="9"/>
      <c r="U143" s="9"/>
      <c r="V143" s="9"/>
      <c r="W143" s="9"/>
      <c r="X143" s="9"/>
      <c r="Y143" s="9"/>
      <c r="Z143" s="9"/>
      <c r="AA143" s="9"/>
      <c r="AB143" s="9">
        <f t="shared" si="3"/>
        <v>38000</v>
      </c>
    </row>
    <row r="144" spans="1:28">
      <c r="B144" t="s">
        <v>520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>
        <v>143000</v>
      </c>
      <c r="S144" s="9"/>
      <c r="T144" s="9"/>
      <c r="U144" s="9"/>
      <c r="V144" s="9"/>
      <c r="W144" s="9"/>
      <c r="X144" s="9"/>
      <c r="Y144" s="9"/>
      <c r="Z144" s="9"/>
      <c r="AA144" s="9"/>
      <c r="AB144" s="9">
        <f t="shared" si="3"/>
        <v>143000</v>
      </c>
    </row>
    <row r="145" spans="2:28">
      <c r="B145" t="s">
        <v>521</v>
      </c>
      <c r="C145" s="9"/>
      <c r="D145" s="9"/>
      <c r="E145" s="9"/>
      <c r="F145" s="9"/>
      <c r="G145" s="9">
        <v>420643.65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>
        <f t="shared" si="3"/>
        <v>420643.65</v>
      </c>
    </row>
    <row r="146" spans="2:28">
      <c r="B146" t="s">
        <v>494</v>
      </c>
      <c r="C146" s="9"/>
      <c r="D146" s="9">
        <v>430000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>
        <f t="shared" si="3"/>
        <v>430000</v>
      </c>
    </row>
    <row r="147" spans="2:28">
      <c r="B147" t="s">
        <v>490</v>
      </c>
      <c r="C147" s="9"/>
      <c r="D147" s="9"/>
      <c r="E147" s="9">
        <v>1354167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>
        <f t="shared" si="3"/>
        <v>1354167</v>
      </c>
    </row>
    <row r="148" spans="2:28">
      <c r="B148" t="s">
        <v>60</v>
      </c>
      <c r="C148" s="9"/>
      <c r="D148" s="9"/>
      <c r="E148" s="9"/>
      <c r="F148" s="9">
        <v>300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>
        <f t="shared" si="3"/>
        <v>300</v>
      </c>
    </row>
    <row r="149" spans="2:28">
      <c r="B149" t="s">
        <v>60</v>
      </c>
      <c r="C149" s="9"/>
      <c r="D149" s="9"/>
      <c r="E149" s="9"/>
      <c r="F149" s="9">
        <v>15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>
        <f t="shared" si="3"/>
        <v>15</v>
      </c>
    </row>
    <row r="150" spans="2:28">
      <c r="B150" t="s">
        <v>501</v>
      </c>
      <c r="C150" s="9"/>
      <c r="D150" s="9"/>
      <c r="E150" s="9">
        <v>776100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>
        <f t="shared" si="3"/>
        <v>776100</v>
      </c>
    </row>
    <row r="151" spans="2:28">
      <c r="B151" t="s">
        <v>522</v>
      </c>
      <c r="C151" s="9"/>
      <c r="D151" s="9"/>
      <c r="E151" s="9">
        <v>233833.33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>
        <f t="shared" si="3"/>
        <v>233833.33</v>
      </c>
    </row>
    <row r="152" spans="2:28">
      <c r="B152" t="s">
        <v>523</v>
      </c>
      <c r="C152" s="9"/>
      <c r="D152" s="9"/>
      <c r="E152" s="9">
        <v>52500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>
        <f t="shared" si="3"/>
        <v>52500</v>
      </c>
    </row>
    <row r="153" spans="2:28">
      <c r="B153" t="s">
        <v>524</v>
      </c>
      <c r="C153" s="9"/>
      <c r="D153" s="9"/>
      <c r="E153" s="9"/>
      <c r="F153" s="9"/>
      <c r="G153" s="9"/>
      <c r="H153" s="9"/>
      <c r="I153" s="9">
        <v>135161.65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>
        <f t="shared" si="3"/>
        <v>135161.65</v>
      </c>
    </row>
    <row r="154" spans="2:28">
      <c r="B154" t="s">
        <v>60</v>
      </c>
      <c r="C154" s="9"/>
      <c r="D154" s="9"/>
      <c r="E154" s="9"/>
      <c r="F154" s="9">
        <v>1300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>
        <f t="shared" si="3"/>
        <v>1300</v>
      </c>
    </row>
    <row r="155" spans="2:28">
      <c r="B155" t="s">
        <v>525</v>
      </c>
      <c r="C155" s="9"/>
      <c r="D155" s="9"/>
      <c r="E155" s="9">
        <v>35000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>
        <f t="shared" si="3"/>
        <v>35000</v>
      </c>
    </row>
    <row r="156" spans="2:28">
      <c r="B156" t="s">
        <v>505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>
        <v>1710000</v>
      </c>
      <c r="W156" s="9"/>
      <c r="X156" s="9"/>
      <c r="Y156" s="9"/>
      <c r="Z156" s="9"/>
      <c r="AA156" s="9"/>
      <c r="AB156" s="9">
        <f t="shared" si="3"/>
        <v>1710000</v>
      </c>
    </row>
    <row r="157" spans="2:28">
      <c r="B157" t="s">
        <v>60</v>
      </c>
      <c r="C157" s="9"/>
      <c r="D157" s="9"/>
      <c r="E157" s="9"/>
      <c r="F157" s="9">
        <v>1300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>
        <f t="shared" si="3"/>
        <v>1300</v>
      </c>
    </row>
    <row r="158" spans="2:28">
      <c r="B158" t="s">
        <v>494</v>
      </c>
      <c r="C158" s="9"/>
      <c r="D158" s="9">
        <v>3000000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>
        <f t="shared" si="3"/>
        <v>3000000</v>
      </c>
    </row>
    <row r="159" spans="2:28">
      <c r="B159" t="s">
        <v>60</v>
      </c>
      <c r="C159" s="9"/>
      <c r="D159" s="9"/>
      <c r="E159" s="9"/>
      <c r="F159" s="9">
        <v>67483.41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>
        <f t="shared" si="3"/>
        <v>67483.41</v>
      </c>
    </row>
    <row r="160" spans="2:28">
      <c r="B160" t="s">
        <v>60</v>
      </c>
      <c r="C160" s="9"/>
      <c r="D160" s="9"/>
      <c r="E160" s="9"/>
      <c r="F160" s="9">
        <v>3374.17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>
        <f t="shared" si="3"/>
        <v>3374.17</v>
      </c>
    </row>
    <row r="161" spans="1:28" ht="15" customHeight="1">
      <c r="A161" t="s">
        <v>399</v>
      </c>
      <c r="B161" s="177" t="s">
        <v>526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>
        <v>400000</v>
      </c>
      <c r="V161" s="9"/>
      <c r="W161" s="9"/>
      <c r="X161" s="9"/>
      <c r="Y161" s="9"/>
      <c r="Z161" s="9"/>
      <c r="AA161" s="9"/>
      <c r="AB161" s="9">
        <f t="shared" si="3"/>
        <v>400000</v>
      </c>
    </row>
    <row r="162" spans="1:28">
      <c r="B162" t="s">
        <v>494</v>
      </c>
      <c r="C162" s="9"/>
      <c r="D162" s="9">
        <v>3000000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>
        <f t="shared" si="3"/>
        <v>3000000</v>
      </c>
    </row>
    <row r="163" spans="1:28">
      <c r="B163" t="s">
        <v>484</v>
      </c>
      <c r="C163" s="9"/>
      <c r="D163" s="9"/>
      <c r="E163" s="9"/>
      <c r="F163" s="9"/>
      <c r="G163" s="9"/>
      <c r="H163" s="9">
        <v>1530000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>
        <f t="shared" si="3"/>
        <v>1530000</v>
      </c>
    </row>
    <row r="164" spans="1:28">
      <c r="B164" t="s">
        <v>60</v>
      </c>
      <c r="C164" s="9"/>
      <c r="D164" s="9"/>
      <c r="E164" s="9"/>
      <c r="F164" s="9">
        <v>800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>
        <f t="shared" si="3"/>
        <v>800</v>
      </c>
    </row>
    <row r="165" spans="1:28">
      <c r="B165" t="s">
        <v>484</v>
      </c>
      <c r="C165" s="9"/>
      <c r="D165" s="9"/>
      <c r="E165" s="9"/>
      <c r="F165" s="9"/>
      <c r="G165" s="9"/>
      <c r="H165" s="9">
        <v>1573000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>
        <f t="shared" si="3"/>
        <v>1573000</v>
      </c>
    </row>
    <row r="166" spans="1:28">
      <c r="B166" t="s">
        <v>494</v>
      </c>
      <c r="C166" s="9"/>
      <c r="D166" s="9">
        <v>2000000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>
        <f t="shared" si="3"/>
        <v>2000000</v>
      </c>
    </row>
    <row r="167" spans="1:28">
      <c r="B167" t="s">
        <v>467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>
        <v>81991.55</v>
      </c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>
        <f t="shared" si="3"/>
        <v>81991.55</v>
      </c>
    </row>
    <row r="168" spans="1:28">
      <c r="B168" t="s">
        <v>488</v>
      </c>
      <c r="C168" s="9">
        <v>674000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>
        <f t="shared" si="3"/>
        <v>674000</v>
      </c>
    </row>
    <row r="169" spans="1:28">
      <c r="B169" t="s">
        <v>527</v>
      </c>
      <c r="C169" s="9"/>
      <c r="D169" s="9"/>
      <c r="E169" s="9">
        <v>150000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>
        <f t="shared" si="3"/>
        <v>150000</v>
      </c>
    </row>
    <row r="170" spans="1:28">
      <c r="B170" t="s">
        <v>60</v>
      </c>
      <c r="C170" s="9"/>
      <c r="D170" s="9"/>
      <c r="E170" s="9"/>
      <c r="F170" s="9">
        <v>100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>
        <f t="shared" si="3"/>
        <v>100</v>
      </c>
    </row>
    <row r="171" spans="1:28">
      <c r="B171" t="s">
        <v>494</v>
      </c>
      <c r="C171" s="9"/>
      <c r="D171" s="9">
        <v>3000000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>
        <f t="shared" si="3"/>
        <v>3000000</v>
      </c>
    </row>
    <row r="172" spans="1:28" ht="30">
      <c r="B172" s="177" t="s">
        <v>473</v>
      </c>
      <c r="C172" s="9">
        <v>150000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>
        <f t="shared" si="3"/>
        <v>150000</v>
      </c>
    </row>
    <row r="173" spans="1:28">
      <c r="B173" t="s">
        <v>484</v>
      </c>
      <c r="C173" s="9"/>
      <c r="D173" s="9"/>
      <c r="E173" s="9"/>
      <c r="F173" s="9"/>
      <c r="G173" s="9"/>
      <c r="H173" s="9">
        <v>3110393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>
        <f t="shared" si="3"/>
        <v>3110393</v>
      </c>
    </row>
    <row r="174" spans="1:28">
      <c r="B174" t="s">
        <v>528</v>
      </c>
      <c r="C174" s="9">
        <v>100000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>
        <f t="shared" si="3"/>
        <v>100000</v>
      </c>
    </row>
    <row r="175" spans="1:28">
      <c r="B175" t="s">
        <v>529</v>
      </c>
      <c r="C175" s="9"/>
      <c r="D175" s="9"/>
      <c r="E175" s="9"/>
      <c r="F175" s="9"/>
      <c r="G175" s="9">
        <v>420643.65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>
        <f t="shared" si="3"/>
        <v>420643.65</v>
      </c>
    </row>
    <row r="176" spans="1:28">
      <c r="B176" t="s">
        <v>524</v>
      </c>
      <c r="C176" s="9"/>
      <c r="D176" s="9"/>
      <c r="E176" s="9"/>
      <c r="F176" s="9"/>
      <c r="G176" s="9"/>
      <c r="H176" s="9"/>
      <c r="I176" s="9">
        <v>80396.039999999994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>
        <f t="shared" ref="AB176:AB239" si="4">SUM(C176:AA176)</f>
        <v>80396.039999999994</v>
      </c>
    </row>
    <row r="177" spans="1:28">
      <c r="B177" t="s">
        <v>494</v>
      </c>
      <c r="C177" s="9"/>
      <c r="D177" s="9">
        <v>3000000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>
        <f t="shared" si="4"/>
        <v>3000000</v>
      </c>
    </row>
    <row r="178" spans="1:28">
      <c r="B178" t="s">
        <v>494</v>
      </c>
      <c r="C178" s="9"/>
      <c r="D178" s="9">
        <v>3000000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>
        <f t="shared" si="4"/>
        <v>3000000</v>
      </c>
    </row>
    <row r="179" spans="1:28">
      <c r="B179" t="s">
        <v>484</v>
      </c>
      <c r="C179" s="9"/>
      <c r="D179" s="9"/>
      <c r="E179" s="9"/>
      <c r="F179" s="9"/>
      <c r="G179" s="9"/>
      <c r="H179" s="9">
        <v>1573000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>
        <f t="shared" si="4"/>
        <v>1573000</v>
      </c>
    </row>
    <row r="180" spans="1:28">
      <c r="B180" t="s">
        <v>487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>
        <v>367302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>
        <f t="shared" si="4"/>
        <v>367302</v>
      </c>
    </row>
    <row r="181" spans="1:28">
      <c r="B181" t="s">
        <v>490</v>
      </c>
      <c r="C181" s="9"/>
      <c r="D181" s="9"/>
      <c r="E181" s="9">
        <v>1354167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>
        <f t="shared" si="4"/>
        <v>1354167</v>
      </c>
    </row>
    <row r="182" spans="1:28">
      <c r="B182" t="s">
        <v>530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>
        <v>1700000</v>
      </c>
      <c r="W182" s="9"/>
      <c r="X182" s="9"/>
      <c r="Y182" s="9"/>
      <c r="Z182" s="9"/>
      <c r="AA182" s="9"/>
      <c r="AB182" s="9">
        <f t="shared" si="4"/>
        <v>1700000</v>
      </c>
    </row>
    <row r="183" spans="1:28">
      <c r="B183" t="s">
        <v>514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>
        <v>3850306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>
        <f t="shared" si="4"/>
        <v>3850306</v>
      </c>
    </row>
    <row r="184" spans="1:28">
      <c r="B184" t="s">
        <v>520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>
        <v>165000</v>
      </c>
      <c r="S184" s="9"/>
      <c r="T184" s="9"/>
      <c r="U184" s="9"/>
      <c r="V184" s="9"/>
      <c r="W184" s="9"/>
      <c r="X184" s="9"/>
      <c r="Y184" s="9"/>
      <c r="Z184" s="9"/>
      <c r="AA184" s="9"/>
      <c r="AB184" s="9">
        <f t="shared" si="4"/>
        <v>165000</v>
      </c>
    </row>
    <row r="185" spans="1:28">
      <c r="B185" t="s">
        <v>494</v>
      </c>
      <c r="C185" s="9"/>
      <c r="D185" s="9">
        <v>3000000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>
        <f t="shared" si="4"/>
        <v>3000000</v>
      </c>
    </row>
    <row r="186" spans="1:28">
      <c r="B186" t="s">
        <v>531</v>
      </c>
      <c r="C186" s="9"/>
      <c r="D186" s="9"/>
      <c r="E186" s="9">
        <v>406572</v>
      </c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>
        <f t="shared" si="4"/>
        <v>406572</v>
      </c>
    </row>
    <row r="187" spans="1:28">
      <c r="B187" t="s">
        <v>494</v>
      </c>
      <c r="C187" s="9"/>
      <c r="D187" s="9">
        <v>3000000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>
        <f t="shared" si="4"/>
        <v>3000000</v>
      </c>
    </row>
    <row r="188" spans="1:28">
      <c r="B188" t="s">
        <v>60</v>
      </c>
      <c r="C188" s="9"/>
      <c r="D188" s="9"/>
      <c r="E188" s="9"/>
      <c r="F188" s="9">
        <v>75375.33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>
        <f t="shared" si="4"/>
        <v>75375.33</v>
      </c>
    </row>
    <row r="189" spans="1:28">
      <c r="B189" t="s">
        <v>60</v>
      </c>
      <c r="C189" s="9"/>
      <c r="D189" s="9"/>
      <c r="E189" s="9"/>
      <c r="F189" s="9">
        <v>3768.77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>
        <f t="shared" si="4"/>
        <v>3768.77</v>
      </c>
    </row>
    <row r="190" spans="1:28">
      <c r="A190" t="s">
        <v>398</v>
      </c>
      <c r="B190" t="s">
        <v>494</v>
      </c>
      <c r="C190" s="9"/>
      <c r="D190" s="9">
        <v>3000000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>
        <f t="shared" si="4"/>
        <v>3000000</v>
      </c>
    </row>
    <row r="191" spans="1:28">
      <c r="B191" t="s">
        <v>484</v>
      </c>
      <c r="C191" s="9"/>
      <c r="D191" s="9"/>
      <c r="E191" s="9"/>
      <c r="F191" s="9"/>
      <c r="G191" s="9"/>
      <c r="H191" s="9">
        <v>1485000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>
        <f t="shared" si="4"/>
        <v>1485000</v>
      </c>
    </row>
    <row r="192" spans="1:28">
      <c r="B192" t="s">
        <v>60</v>
      </c>
      <c r="C192" s="9"/>
      <c r="D192" s="9"/>
      <c r="E192" s="9"/>
      <c r="F192" s="9">
        <v>800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>
        <f t="shared" si="4"/>
        <v>800</v>
      </c>
    </row>
    <row r="193" spans="2:28">
      <c r="B193" t="s">
        <v>494</v>
      </c>
      <c r="C193" s="9"/>
      <c r="D193" s="9">
        <v>3000000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>
        <f t="shared" si="4"/>
        <v>3000000</v>
      </c>
    </row>
    <row r="194" spans="2:28">
      <c r="B194" t="s">
        <v>60</v>
      </c>
      <c r="C194" s="9"/>
      <c r="D194" s="9"/>
      <c r="E194" s="9"/>
      <c r="F194" s="9">
        <v>2444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>
        <f t="shared" si="4"/>
        <v>2444</v>
      </c>
    </row>
    <row r="195" spans="2:28">
      <c r="B195" t="s">
        <v>530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>
        <v>1650000</v>
      </c>
      <c r="W195" s="9"/>
      <c r="X195" s="9"/>
      <c r="Y195" s="9"/>
      <c r="Z195" s="9"/>
      <c r="AA195" s="9"/>
      <c r="AB195" s="9">
        <f t="shared" si="4"/>
        <v>1650000</v>
      </c>
    </row>
    <row r="196" spans="2:28">
      <c r="B196" t="s">
        <v>494</v>
      </c>
      <c r="C196" s="9"/>
      <c r="D196" s="9">
        <v>2000000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>
        <f t="shared" si="4"/>
        <v>2000000</v>
      </c>
    </row>
    <row r="197" spans="2:28">
      <c r="B197" t="s">
        <v>494</v>
      </c>
      <c r="C197" s="9"/>
      <c r="D197" s="9">
        <v>3000000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>
        <f t="shared" si="4"/>
        <v>3000000</v>
      </c>
    </row>
    <row r="198" spans="2:28">
      <c r="B198" t="s">
        <v>60</v>
      </c>
      <c r="C198" s="9"/>
      <c r="D198" s="9"/>
      <c r="E198" s="9"/>
      <c r="F198" s="9">
        <v>2600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>
        <f t="shared" si="4"/>
        <v>2600</v>
      </c>
    </row>
    <row r="199" spans="2:28">
      <c r="B199" t="s">
        <v>494</v>
      </c>
      <c r="C199" s="9"/>
      <c r="D199" s="9">
        <v>3000000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>
        <f t="shared" si="4"/>
        <v>3000000</v>
      </c>
    </row>
    <row r="200" spans="2:28">
      <c r="B200" t="s">
        <v>60</v>
      </c>
      <c r="C200" s="9"/>
      <c r="D200" s="9"/>
      <c r="E200" s="9"/>
      <c r="F200" s="9">
        <v>5000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>
        <f t="shared" si="4"/>
        <v>5000</v>
      </c>
    </row>
    <row r="201" spans="2:28">
      <c r="B201" t="s">
        <v>60</v>
      </c>
      <c r="C201" s="9"/>
      <c r="D201" s="9"/>
      <c r="E201" s="9"/>
      <c r="F201" s="9">
        <v>15000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>
        <f t="shared" si="4"/>
        <v>15000</v>
      </c>
    </row>
    <row r="202" spans="2:28">
      <c r="B202" t="s">
        <v>532</v>
      </c>
      <c r="C202" s="9"/>
      <c r="D202" s="9"/>
      <c r="E202" s="9"/>
      <c r="F202" s="9"/>
      <c r="G202" s="9">
        <v>2000000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>
        <f t="shared" si="4"/>
        <v>2000000</v>
      </c>
    </row>
    <row r="203" spans="2:28">
      <c r="B203" t="s">
        <v>533</v>
      </c>
      <c r="C203" s="9"/>
      <c r="D203" s="9"/>
      <c r="E203" s="9"/>
      <c r="F203" s="9"/>
      <c r="G203" s="9">
        <v>2563061.65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>
        <f t="shared" si="4"/>
        <v>2563061.65</v>
      </c>
    </row>
    <row r="204" spans="2:28">
      <c r="B204" t="s">
        <v>494</v>
      </c>
      <c r="C204" s="9"/>
      <c r="D204" s="9">
        <v>3000000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>
        <f t="shared" si="4"/>
        <v>3000000</v>
      </c>
    </row>
    <row r="205" spans="2:28">
      <c r="B205" t="s">
        <v>531</v>
      </c>
      <c r="C205" s="9"/>
      <c r="D205" s="9"/>
      <c r="E205" s="9">
        <v>333234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>
        <f t="shared" si="4"/>
        <v>333234</v>
      </c>
    </row>
    <row r="206" spans="2:28">
      <c r="B206" t="s">
        <v>494</v>
      </c>
      <c r="C206" s="9"/>
      <c r="D206" s="9">
        <v>3000000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>
        <f t="shared" si="4"/>
        <v>3000000</v>
      </c>
    </row>
    <row r="207" spans="2:28">
      <c r="B207" t="s">
        <v>494</v>
      </c>
      <c r="C207" s="9"/>
      <c r="D207" s="9">
        <v>3000000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>
        <f t="shared" si="4"/>
        <v>3000000</v>
      </c>
    </row>
    <row r="208" spans="2:28">
      <c r="B208" t="s">
        <v>60</v>
      </c>
      <c r="C208" s="9"/>
      <c r="D208" s="9"/>
      <c r="E208" s="9"/>
      <c r="F208" s="9">
        <v>700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>
        <f t="shared" si="4"/>
        <v>700</v>
      </c>
    </row>
    <row r="209" spans="1:28">
      <c r="B209" t="s">
        <v>534</v>
      </c>
      <c r="C209" s="9"/>
      <c r="D209" s="9"/>
      <c r="E209" s="9">
        <v>17000000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>
        <f t="shared" si="4"/>
        <v>17000000</v>
      </c>
    </row>
    <row r="210" spans="1:28">
      <c r="B210" t="s">
        <v>60</v>
      </c>
      <c r="C210" s="9"/>
      <c r="D210" s="9"/>
      <c r="E210" s="9"/>
      <c r="F210" s="9">
        <v>1336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>
        <f t="shared" si="4"/>
        <v>1336</v>
      </c>
    </row>
    <row r="211" spans="1:28">
      <c r="B211" t="s">
        <v>60</v>
      </c>
      <c r="C211" s="9"/>
      <c r="D211" s="9"/>
      <c r="E211" s="9"/>
      <c r="F211" s="9">
        <v>96105.59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>
        <f t="shared" si="4"/>
        <v>96105.59</v>
      </c>
    </row>
    <row r="212" spans="1:28">
      <c r="B212" t="s">
        <v>60</v>
      </c>
      <c r="C212" s="9"/>
      <c r="D212" s="9"/>
      <c r="E212" s="9"/>
      <c r="F212" s="9">
        <v>4805.28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>
        <f t="shared" si="4"/>
        <v>4805.28</v>
      </c>
    </row>
    <row r="213" spans="1:28">
      <c r="A213" t="s">
        <v>397</v>
      </c>
      <c r="B213" t="s">
        <v>519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>
        <v>117000</v>
      </c>
      <c r="T213" s="9"/>
      <c r="U213" s="9"/>
      <c r="V213" s="9"/>
      <c r="W213" s="9"/>
      <c r="X213" s="9"/>
      <c r="Y213" s="9"/>
      <c r="Z213" s="9"/>
      <c r="AA213" s="9"/>
      <c r="AB213" s="9">
        <f t="shared" si="4"/>
        <v>117000</v>
      </c>
    </row>
    <row r="214" spans="1:28">
      <c r="B214" t="s">
        <v>494</v>
      </c>
      <c r="C214" s="9"/>
      <c r="D214" s="9">
        <v>3000000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>
        <f t="shared" si="4"/>
        <v>3000000</v>
      </c>
    </row>
    <row r="215" spans="1:28">
      <c r="B215" t="s">
        <v>494</v>
      </c>
      <c r="C215" s="9"/>
      <c r="D215" s="9">
        <v>3000000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>
        <f t="shared" si="4"/>
        <v>3000000</v>
      </c>
    </row>
    <row r="216" spans="1:28">
      <c r="B216" t="s">
        <v>484</v>
      </c>
      <c r="C216" s="9"/>
      <c r="D216" s="9"/>
      <c r="E216" s="9"/>
      <c r="F216" s="9"/>
      <c r="G216" s="9"/>
      <c r="H216" s="9">
        <v>1551000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>
        <f t="shared" si="4"/>
        <v>1551000</v>
      </c>
    </row>
    <row r="217" spans="1:28">
      <c r="B217" t="s">
        <v>535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>
        <v>215902</v>
      </c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>
        <f t="shared" si="4"/>
        <v>215902</v>
      </c>
    </row>
    <row r="218" spans="1:28">
      <c r="B218" t="s">
        <v>467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>
        <v>200000</v>
      </c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>
        <f t="shared" si="4"/>
        <v>200000</v>
      </c>
    </row>
    <row r="219" spans="1:28">
      <c r="B219" t="s">
        <v>467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>
        <v>40000</v>
      </c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>
        <f t="shared" si="4"/>
        <v>40000</v>
      </c>
    </row>
    <row r="220" spans="1:28">
      <c r="B220" t="s">
        <v>475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>
        <v>155096</v>
      </c>
      <c r="X220" s="9"/>
      <c r="Y220" s="9"/>
      <c r="Z220" s="9"/>
      <c r="AA220" s="9"/>
      <c r="AB220" s="9">
        <f t="shared" si="4"/>
        <v>155096</v>
      </c>
    </row>
    <row r="221" spans="1:28">
      <c r="B221" t="s">
        <v>494</v>
      </c>
      <c r="C221" s="9"/>
      <c r="D221" s="9">
        <v>3000000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>
        <f t="shared" si="4"/>
        <v>3000000</v>
      </c>
    </row>
    <row r="222" spans="1:28">
      <c r="B222" t="s">
        <v>537</v>
      </c>
      <c r="C222" s="9"/>
      <c r="D222" s="9"/>
      <c r="E222" s="9"/>
      <c r="F222" s="9">
        <v>42126.75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>
        <f t="shared" si="4"/>
        <v>42126.75</v>
      </c>
    </row>
    <row r="223" spans="1:28">
      <c r="B223" t="s">
        <v>458</v>
      </c>
      <c r="C223" s="9"/>
      <c r="D223" s="9"/>
      <c r="E223" s="9"/>
      <c r="F223" s="9"/>
      <c r="G223" s="9"/>
      <c r="H223" s="9"/>
      <c r="I223" s="9"/>
      <c r="J223" s="9"/>
      <c r="K223" s="9"/>
      <c r="L223" s="9">
        <v>13500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>
        <f t="shared" si="4"/>
        <v>13500</v>
      </c>
    </row>
    <row r="224" spans="1:28">
      <c r="B224" t="s">
        <v>489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>
        <v>75000</v>
      </c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>
        <f t="shared" si="4"/>
        <v>75000</v>
      </c>
    </row>
    <row r="225" spans="2:28">
      <c r="B225" t="s">
        <v>531</v>
      </c>
      <c r="C225" s="9"/>
      <c r="D225" s="9"/>
      <c r="E225" s="9">
        <v>492014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>
        <f t="shared" si="4"/>
        <v>492014</v>
      </c>
    </row>
    <row r="226" spans="2:28">
      <c r="B226" t="s">
        <v>533</v>
      </c>
      <c r="C226" s="9"/>
      <c r="D226" s="9"/>
      <c r="E226" s="9"/>
      <c r="F226" s="9"/>
      <c r="G226" s="9">
        <v>1428940.59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>
        <f t="shared" si="4"/>
        <v>1428940.59</v>
      </c>
    </row>
    <row r="227" spans="2:28">
      <c r="B227" t="s">
        <v>533</v>
      </c>
      <c r="C227" s="9"/>
      <c r="D227" s="9"/>
      <c r="E227" s="9"/>
      <c r="F227" s="9"/>
      <c r="G227" s="9">
        <v>2000000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>
        <f t="shared" si="4"/>
        <v>2000000</v>
      </c>
    </row>
    <row r="228" spans="2:28">
      <c r="B228" t="s">
        <v>494</v>
      </c>
      <c r="C228" s="9"/>
      <c r="D228" s="9">
        <v>3000000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>
        <f t="shared" si="4"/>
        <v>3000000</v>
      </c>
    </row>
    <row r="229" spans="2:28">
      <c r="B229" t="s">
        <v>494</v>
      </c>
      <c r="C229" s="9"/>
      <c r="D229" s="9">
        <v>3000000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>
        <f t="shared" si="4"/>
        <v>3000000</v>
      </c>
    </row>
    <row r="230" spans="2:28">
      <c r="B230" t="s">
        <v>494</v>
      </c>
      <c r="C230" s="9"/>
      <c r="D230" s="9">
        <v>1000000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>
        <f t="shared" si="4"/>
        <v>1000000</v>
      </c>
    </row>
    <row r="231" spans="2:28">
      <c r="B231" t="s">
        <v>494</v>
      </c>
      <c r="C231" s="9"/>
      <c r="D231" s="9">
        <v>3000000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>
        <f t="shared" si="4"/>
        <v>3000000</v>
      </c>
    </row>
    <row r="232" spans="2:28">
      <c r="B232" t="s">
        <v>60</v>
      </c>
      <c r="C232" s="9"/>
      <c r="D232" s="9"/>
      <c r="E232" s="9"/>
      <c r="F232" s="9">
        <v>500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>
        <f t="shared" si="4"/>
        <v>500</v>
      </c>
    </row>
    <row r="233" spans="2:28">
      <c r="B233" t="s">
        <v>536</v>
      </c>
      <c r="C233" s="9"/>
      <c r="D233" s="9"/>
      <c r="E233" s="9">
        <v>10000000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>
        <f t="shared" si="4"/>
        <v>10000000</v>
      </c>
    </row>
    <row r="234" spans="2:28">
      <c r="B234" t="s">
        <v>484</v>
      </c>
      <c r="C234" s="9"/>
      <c r="D234" s="9"/>
      <c r="E234" s="9"/>
      <c r="F234" s="9"/>
      <c r="G234" s="9"/>
      <c r="H234" s="9">
        <v>1551000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>
        <f t="shared" si="4"/>
        <v>1551000</v>
      </c>
    </row>
    <row r="235" spans="2:28">
      <c r="B235" t="s">
        <v>494</v>
      </c>
      <c r="C235" s="9"/>
      <c r="D235" s="9">
        <v>3000000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>
        <f t="shared" si="4"/>
        <v>3000000</v>
      </c>
    </row>
    <row r="236" spans="2:28">
      <c r="B236" t="s">
        <v>514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>
        <v>956759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>
        <f t="shared" si="4"/>
        <v>956759</v>
      </c>
    </row>
    <row r="237" spans="2:28">
      <c r="B237" t="s">
        <v>494</v>
      </c>
      <c r="C237" s="9"/>
      <c r="D237" s="9">
        <v>3000000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>
        <f t="shared" si="4"/>
        <v>3000000</v>
      </c>
    </row>
    <row r="238" spans="2:28">
      <c r="B238" t="s">
        <v>537</v>
      </c>
      <c r="C238" s="9"/>
      <c r="D238" s="9"/>
      <c r="E238" s="9"/>
      <c r="F238" s="9">
        <v>6912.5</v>
      </c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>
        <f t="shared" si="4"/>
        <v>6912.5</v>
      </c>
    </row>
    <row r="239" spans="2:28">
      <c r="B239" t="s">
        <v>514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>
        <v>135757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>
        <f t="shared" si="4"/>
        <v>135757</v>
      </c>
    </row>
    <row r="240" spans="2:28">
      <c r="B240" t="s">
        <v>60</v>
      </c>
      <c r="C240" s="9"/>
      <c r="D240" s="9"/>
      <c r="E240" s="9"/>
      <c r="F240" s="9">
        <v>804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>
        <f t="shared" ref="AB240:AB303" si="5">SUM(C240:AA240)</f>
        <v>804</v>
      </c>
    </row>
    <row r="241" spans="1:28">
      <c r="B241" t="s">
        <v>60</v>
      </c>
      <c r="C241" s="9"/>
      <c r="D241" s="9"/>
      <c r="E241" s="9"/>
      <c r="F241" s="9">
        <v>14259</v>
      </c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>
        <f t="shared" si="5"/>
        <v>14259</v>
      </c>
    </row>
    <row r="242" spans="1:28">
      <c r="B242" t="s">
        <v>571</v>
      </c>
      <c r="C242" s="9"/>
      <c r="D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>
        <v>112800</v>
      </c>
      <c r="S242" s="9"/>
      <c r="T242" s="9"/>
      <c r="U242" s="9"/>
      <c r="V242" s="9"/>
      <c r="W242" s="9"/>
      <c r="X242" s="9"/>
      <c r="Y242" s="9"/>
      <c r="Z242" s="9"/>
      <c r="AA242" s="9"/>
      <c r="AB242" s="9">
        <f t="shared" si="5"/>
        <v>112800</v>
      </c>
    </row>
    <row r="243" spans="1:28">
      <c r="B243" t="s">
        <v>539</v>
      </c>
      <c r="C243" s="9">
        <v>16318.57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>
        <f t="shared" si="5"/>
        <v>16318.57</v>
      </c>
    </row>
    <row r="244" spans="1:28">
      <c r="B244" t="s">
        <v>514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>
        <v>198379</v>
      </c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>
        <f t="shared" si="5"/>
        <v>198379</v>
      </c>
    </row>
    <row r="245" spans="1:28">
      <c r="B245" t="s">
        <v>494</v>
      </c>
      <c r="C245" s="9"/>
      <c r="D245" s="9">
        <v>3000000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>
        <f t="shared" si="5"/>
        <v>3000000</v>
      </c>
    </row>
    <row r="246" spans="1:28">
      <c r="B246" t="s">
        <v>538</v>
      </c>
      <c r="C246" s="9"/>
      <c r="D246" s="9"/>
      <c r="E246" s="9"/>
      <c r="F246" s="9"/>
      <c r="G246" s="9"/>
      <c r="H246" s="9"/>
      <c r="I246" s="9">
        <v>18909.400000000001</v>
      </c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>
        <f t="shared" si="5"/>
        <v>18909.400000000001</v>
      </c>
    </row>
    <row r="247" spans="1:28">
      <c r="B247" t="s">
        <v>60</v>
      </c>
      <c r="C247" s="9"/>
      <c r="D247" s="9"/>
      <c r="E247" s="9"/>
      <c r="F247" s="9">
        <v>94651.71</v>
      </c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>
        <f t="shared" si="5"/>
        <v>94651.71</v>
      </c>
    </row>
    <row r="248" spans="1:28">
      <c r="B248" t="s">
        <v>60</v>
      </c>
      <c r="C248" s="9"/>
      <c r="D248" s="9"/>
      <c r="E248" s="9"/>
      <c r="F248" s="9">
        <v>4732.59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>
        <f t="shared" si="5"/>
        <v>4732.59</v>
      </c>
    </row>
    <row r="249" spans="1:28">
      <c r="A249" t="s">
        <v>396</v>
      </c>
      <c r="B249" t="s">
        <v>484</v>
      </c>
      <c r="C249" s="9"/>
      <c r="D249" s="9"/>
      <c r="E249" s="9"/>
      <c r="F249" s="9"/>
      <c r="G249" s="9"/>
      <c r="H249" s="9">
        <v>1573000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>
        <f t="shared" si="5"/>
        <v>1573000</v>
      </c>
    </row>
    <row r="250" spans="1:28">
      <c r="B250" t="s">
        <v>494</v>
      </c>
      <c r="C250" s="9"/>
      <c r="D250" s="9">
        <v>3000000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>
        <f t="shared" si="5"/>
        <v>3000000</v>
      </c>
    </row>
    <row r="251" spans="1:28">
      <c r="B251" t="s">
        <v>494</v>
      </c>
      <c r="C251" s="9"/>
      <c r="D251" s="9">
        <v>3000000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>
        <f t="shared" si="5"/>
        <v>3000000</v>
      </c>
    </row>
    <row r="252" spans="1:28">
      <c r="B252" t="s">
        <v>514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>
        <v>238428</v>
      </c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>
        <f t="shared" si="5"/>
        <v>238428</v>
      </c>
    </row>
    <row r="253" spans="1:28">
      <c r="B253" t="s">
        <v>60</v>
      </c>
      <c r="C253" s="9"/>
      <c r="D253" s="9"/>
      <c r="E253" s="9"/>
      <c r="F253" s="9">
        <v>700</v>
      </c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>
        <f t="shared" si="5"/>
        <v>700</v>
      </c>
    </row>
    <row r="254" spans="1:28">
      <c r="B254" t="s">
        <v>540</v>
      </c>
      <c r="C254" s="9"/>
      <c r="D254" s="9"/>
      <c r="E254" s="9">
        <v>10600000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>
        <f t="shared" si="5"/>
        <v>10600000</v>
      </c>
    </row>
    <row r="255" spans="1:28">
      <c r="B255" t="s">
        <v>537</v>
      </c>
      <c r="C255" s="9"/>
      <c r="D255" s="9"/>
      <c r="E255" s="9"/>
      <c r="F255" s="9">
        <v>26247.75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>
        <f t="shared" si="5"/>
        <v>26247.75</v>
      </c>
    </row>
    <row r="256" spans="1:28">
      <c r="B256" t="s">
        <v>537</v>
      </c>
      <c r="C256" s="9"/>
      <c r="D256" s="9"/>
      <c r="E256" s="9"/>
      <c r="F256" s="9">
        <v>26247.75</v>
      </c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>
        <f t="shared" si="5"/>
        <v>26247.75</v>
      </c>
    </row>
    <row r="257" spans="2:28">
      <c r="B257" t="s">
        <v>494</v>
      </c>
      <c r="C257" s="9"/>
      <c r="D257" s="9">
        <v>3000000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>
        <f t="shared" si="5"/>
        <v>3000000</v>
      </c>
    </row>
    <row r="258" spans="2:28">
      <c r="B258" t="s">
        <v>541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>
        <v>1000000</v>
      </c>
      <c r="W258" s="9"/>
      <c r="X258" s="9"/>
      <c r="Y258" s="9"/>
      <c r="Z258" s="9"/>
      <c r="AA258" s="9"/>
      <c r="AB258" s="9">
        <f t="shared" si="5"/>
        <v>1000000</v>
      </c>
    </row>
    <row r="259" spans="2:28">
      <c r="B259" t="s">
        <v>494</v>
      </c>
      <c r="C259" s="9"/>
      <c r="D259" s="9">
        <v>3000000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>
        <f t="shared" si="5"/>
        <v>3000000</v>
      </c>
    </row>
    <row r="260" spans="2:28">
      <c r="B260" t="s">
        <v>487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>
        <v>142800</v>
      </c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>
        <f t="shared" si="5"/>
        <v>142800</v>
      </c>
    </row>
    <row r="261" spans="2:28">
      <c r="B261" t="s">
        <v>467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>
        <v>200000</v>
      </c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>
        <f t="shared" si="5"/>
        <v>200000</v>
      </c>
    </row>
    <row r="262" spans="2:28">
      <c r="B262" t="s">
        <v>467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>
        <v>40000</v>
      </c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>
        <f t="shared" si="5"/>
        <v>40000</v>
      </c>
    </row>
    <row r="263" spans="2:28">
      <c r="B263" t="s">
        <v>235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>
        <v>200989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>
        <f t="shared" si="5"/>
        <v>200989</v>
      </c>
    </row>
    <row r="264" spans="2:28">
      <c r="B264" t="s">
        <v>542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>
        <v>192120</v>
      </c>
      <c r="U264" s="9"/>
      <c r="V264" s="9"/>
      <c r="W264" s="9"/>
      <c r="X264" s="9"/>
      <c r="Y264" s="9"/>
      <c r="Z264" s="9"/>
      <c r="AA264" s="9"/>
      <c r="AB264" s="9">
        <f t="shared" si="5"/>
        <v>192120</v>
      </c>
    </row>
    <row r="265" spans="2:28">
      <c r="B265" t="s">
        <v>494</v>
      </c>
      <c r="C265" s="9"/>
      <c r="D265" s="9">
        <v>3000000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>
        <f t="shared" si="5"/>
        <v>3000000</v>
      </c>
    </row>
    <row r="266" spans="2:28">
      <c r="B266" t="s">
        <v>571</v>
      </c>
      <c r="C266" s="9"/>
      <c r="D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>
        <v>141000</v>
      </c>
      <c r="S266" s="9"/>
      <c r="T266" s="9"/>
      <c r="U266" s="9"/>
      <c r="V266" s="9"/>
      <c r="W266" s="9"/>
      <c r="X266" s="9"/>
      <c r="Y266" s="9"/>
      <c r="Z266" s="9"/>
      <c r="AA266" s="9"/>
      <c r="AB266" s="9">
        <f t="shared" si="5"/>
        <v>141000</v>
      </c>
    </row>
    <row r="267" spans="2:28">
      <c r="B267" t="s">
        <v>533</v>
      </c>
      <c r="C267" s="9"/>
      <c r="D267" s="9"/>
      <c r="E267" s="9"/>
      <c r="F267" s="9"/>
      <c r="G267" s="9">
        <v>1066305.45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>
        <f t="shared" si="5"/>
        <v>1066305.45</v>
      </c>
    </row>
    <row r="268" spans="2:28">
      <c r="B268" t="s">
        <v>533</v>
      </c>
      <c r="C268" s="9"/>
      <c r="D268" s="9"/>
      <c r="E268" s="9"/>
      <c r="F268" s="9"/>
      <c r="G268" s="9">
        <v>2000000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>
        <f t="shared" si="5"/>
        <v>2000000</v>
      </c>
    </row>
    <row r="269" spans="2:28">
      <c r="B269" t="s">
        <v>484</v>
      </c>
      <c r="C269" s="9"/>
      <c r="D269" s="9"/>
      <c r="E269" s="9"/>
      <c r="F269" s="9"/>
      <c r="G269" s="9"/>
      <c r="H269" s="9">
        <v>1573000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>
        <f t="shared" si="5"/>
        <v>1573000</v>
      </c>
    </row>
    <row r="270" spans="2:28">
      <c r="B270" t="s">
        <v>475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>
        <v>155096</v>
      </c>
      <c r="X270" s="9"/>
      <c r="Y270" s="9"/>
      <c r="Z270" s="9"/>
      <c r="AA270" s="9"/>
      <c r="AB270" s="9">
        <f t="shared" si="5"/>
        <v>155096</v>
      </c>
    </row>
    <row r="271" spans="2:28">
      <c r="B271" t="s">
        <v>543</v>
      </c>
      <c r="C271" s="9"/>
      <c r="D271" s="9"/>
      <c r="E271" s="9"/>
      <c r="F271" s="9"/>
      <c r="G271" s="9"/>
      <c r="H271" s="9"/>
      <c r="I271" s="9">
        <v>147629.29</v>
      </c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>
        <f t="shared" si="5"/>
        <v>147629.29</v>
      </c>
    </row>
    <row r="272" spans="2:28">
      <c r="B272" t="s">
        <v>515</v>
      </c>
      <c r="C272" s="9">
        <v>80000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>
        <f t="shared" si="5"/>
        <v>80000</v>
      </c>
    </row>
    <row r="273" spans="2:28">
      <c r="B273" t="s">
        <v>458</v>
      </c>
      <c r="C273" s="9"/>
      <c r="D273" s="9"/>
      <c r="E273" s="9"/>
      <c r="F273" s="9"/>
      <c r="G273" s="9"/>
      <c r="H273" s="9"/>
      <c r="I273" s="9"/>
      <c r="J273" s="9"/>
      <c r="K273" s="9"/>
      <c r="L273" s="9">
        <v>13500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>
        <f t="shared" si="5"/>
        <v>13500</v>
      </c>
    </row>
    <row r="274" spans="2:28">
      <c r="B274" t="s">
        <v>494</v>
      </c>
      <c r="C274" s="9"/>
      <c r="D274" s="9">
        <v>3000000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>
        <f t="shared" si="5"/>
        <v>3000000</v>
      </c>
    </row>
    <row r="275" spans="2:28">
      <c r="B275" t="s">
        <v>484</v>
      </c>
      <c r="C275" s="9"/>
      <c r="D275" s="9"/>
      <c r="E275" s="9"/>
      <c r="F275" s="9"/>
      <c r="G275" s="9"/>
      <c r="H275" s="9">
        <v>1573000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>
        <f t="shared" si="5"/>
        <v>1573000</v>
      </c>
    </row>
    <row r="276" spans="2:28">
      <c r="B276" t="s">
        <v>514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>
        <v>710584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>
        <f t="shared" si="5"/>
        <v>710584</v>
      </c>
    </row>
    <row r="277" spans="2:28">
      <c r="B277" t="s">
        <v>530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>
        <v>1675000</v>
      </c>
      <c r="W277" s="9"/>
      <c r="X277" s="9"/>
      <c r="Y277" s="9"/>
      <c r="Z277" s="9"/>
      <c r="AA277" s="9"/>
      <c r="AB277" s="9">
        <f t="shared" si="5"/>
        <v>1675000</v>
      </c>
    </row>
    <row r="278" spans="2:28">
      <c r="B278" t="s">
        <v>544</v>
      </c>
      <c r="C278" s="9"/>
      <c r="D278" s="9"/>
      <c r="E278" s="9">
        <v>8850000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>
        <f t="shared" si="5"/>
        <v>8850000</v>
      </c>
    </row>
    <row r="279" spans="2:28">
      <c r="B279" t="s">
        <v>494</v>
      </c>
      <c r="C279" s="9"/>
      <c r="D279" s="9">
        <v>3000000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>
        <v>400000</v>
      </c>
      <c r="V279" s="9"/>
      <c r="W279" s="9"/>
      <c r="X279" s="9"/>
      <c r="Y279" s="9"/>
      <c r="Z279" s="9"/>
      <c r="AA279" s="9"/>
      <c r="AB279" s="9">
        <f t="shared" si="5"/>
        <v>3400000</v>
      </c>
    </row>
    <row r="280" spans="2:28">
      <c r="B280" t="s">
        <v>489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>
        <v>75000</v>
      </c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>
        <f t="shared" si="5"/>
        <v>75000</v>
      </c>
    </row>
    <row r="281" spans="2:28">
      <c r="B281" t="s">
        <v>60</v>
      </c>
      <c r="C281" s="9"/>
      <c r="D281" s="9"/>
      <c r="E281" s="9"/>
      <c r="F281" s="9">
        <v>984</v>
      </c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>
        <f t="shared" si="5"/>
        <v>984</v>
      </c>
    </row>
    <row r="282" spans="2:28">
      <c r="B282" t="s">
        <v>545</v>
      </c>
      <c r="C282" s="9"/>
      <c r="D282" s="9"/>
      <c r="E282" s="9">
        <v>103400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>
        <f t="shared" si="5"/>
        <v>103400</v>
      </c>
    </row>
    <row r="283" spans="2:28">
      <c r="B283" t="s">
        <v>494</v>
      </c>
      <c r="C283" s="9"/>
      <c r="D283" s="9">
        <v>3000000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>
        <f t="shared" si="5"/>
        <v>3000000</v>
      </c>
    </row>
    <row r="284" spans="2:28">
      <c r="B284" t="s">
        <v>467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>
        <v>95980.2</v>
      </c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>
        <f t="shared" si="5"/>
        <v>95980.2</v>
      </c>
    </row>
    <row r="285" spans="2:28">
      <c r="B285" t="s">
        <v>467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>
        <v>88861.9</v>
      </c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>
        <f t="shared" si="5"/>
        <v>88861.9</v>
      </c>
    </row>
    <row r="286" spans="2:28">
      <c r="B286" t="s">
        <v>494</v>
      </c>
      <c r="C286" s="9"/>
      <c r="D286" s="9">
        <v>3000000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>
        <f t="shared" si="5"/>
        <v>3000000</v>
      </c>
    </row>
    <row r="287" spans="2:28">
      <c r="B287" t="s">
        <v>60</v>
      </c>
      <c r="C287" s="9"/>
      <c r="D287" s="9"/>
      <c r="E287" s="9"/>
      <c r="F287" s="9">
        <v>119977.79</v>
      </c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>
        <f t="shared" si="5"/>
        <v>119977.79</v>
      </c>
    </row>
    <row r="288" spans="2:28">
      <c r="B288" t="s">
        <v>60</v>
      </c>
      <c r="C288" s="9"/>
      <c r="D288" s="9"/>
      <c r="E288" s="9"/>
      <c r="F288" s="9">
        <v>5998.9</v>
      </c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>
        <f t="shared" si="5"/>
        <v>5998.9</v>
      </c>
    </row>
    <row r="289" spans="1:28">
      <c r="A289" t="s">
        <v>395</v>
      </c>
      <c r="B289" t="s">
        <v>494</v>
      </c>
      <c r="C289" s="9"/>
      <c r="D289" s="9">
        <v>3000000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>
        <f t="shared" si="5"/>
        <v>3000000</v>
      </c>
    </row>
    <row r="290" spans="1:28">
      <c r="B290" t="s">
        <v>487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>
        <v>141400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>
        <f t="shared" si="5"/>
        <v>141400</v>
      </c>
    </row>
    <row r="291" spans="1:28">
      <c r="B291" t="s">
        <v>546</v>
      </c>
      <c r="C291" s="9">
        <v>1090000</v>
      </c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>
        <f t="shared" si="5"/>
        <v>1090000</v>
      </c>
    </row>
    <row r="292" spans="1:28">
      <c r="B292" t="s">
        <v>494</v>
      </c>
      <c r="C292" s="9"/>
      <c r="D292" s="9">
        <v>3000000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>
        <f t="shared" si="5"/>
        <v>3000000</v>
      </c>
    </row>
    <row r="293" spans="1:28">
      <c r="B293" t="s">
        <v>60</v>
      </c>
      <c r="C293" s="9"/>
      <c r="D293" s="9"/>
      <c r="E293" s="9"/>
      <c r="F293" s="9">
        <v>300</v>
      </c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>
        <f t="shared" si="5"/>
        <v>300</v>
      </c>
    </row>
    <row r="294" spans="1:28">
      <c r="B294" t="s">
        <v>60</v>
      </c>
      <c r="C294" s="9"/>
      <c r="D294" s="9"/>
      <c r="E294" s="9"/>
      <c r="F294" s="9">
        <v>15</v>
      </c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>
        <f t="shared" si="5"/>
        <v>15</v>
      </c>
    </row>
    <row r="295" spans="1:28">
      <c r="B295" t="s">
        <v>60</v>
      </c>
      <c r="C295" s="9"/>
      <c r="D295" s="9"/>
      <c r="E295" s="9"/>
      <c r="F295" s="9">
        <v>300</v>
      </c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>
        <f t="shared" si="5"/>
        <v>300</v>
      </c>
    </row>
    <row r="296" spans="1:28">
      <c r="B296" t="s">
        <v>60</v>
      </c>
      <c r="C296" s="9"/>
      <c r="D296" s="9"/>
      <c r="E296" s="9"/>
      <c r="F296" s="9">
        <v>15</v>
      </c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>
        <f t="shared" si="5"/>
        <v>15</v>
      </c>
    </row>
    <row r="297" spans="1:28">
      <c r="B297" t="s">
        <v>547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>
        <v>1227064</v>
      </c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>
        <f t="shared" si="5"/>
        <v>1227064</v>
      </c>
    </row>
    <row r="298" spans="1:28">
      <c r="B298" t="s">
        <v>548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>
        <v>215413</v>
      </c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>
        <f t="shared" si="5"/>
        <v>215413</v>
      </c>
    </row>
    <row r="299" spans="1:28">
      <c r="B299" t="s">
        <v>494</v>
      </c>
      <c r="C299" s="9"/>
      <c r="D299" s="9">
        <v>3000000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>
        <f t="shared" si="5"/>
        <v>3000000</v>
      </c>
    </row>
    <row r="300" spans="1:28">
      <c r="B300" t="s">
        <v>494</v>
      </c>
      <c r="C300" s="9"/>
      <c r="D300" s="9">
        <v>3000000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>
        <f t="shared" si="5"/>
        <v>3000000</v>
      </c>
    </row>
    <row r="301" spans="1:28">
      <c r="B301" t="s">
        <v>494</v>
      </c>
      <c r="C301" s="9"/>
      <c r="D301" s="9">
        <v>3000000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>
        <f t="shared" si="5"/>
        <v>3000000</v>
      </c>
    </row>
    <row r="302" spans="1:28">
      <c r="B302" t="s">
        <v>549</v>
      </c>
      <c r="C302" s="9"/>
      <c r="D302" s="9"/>
      <c r="E302" s="9">
        <v>14776.95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>
        <f t="shared" si="5"/>
        <v>14776.95</v>
      </c>
    </row>
    <row r="303" spans="1:28">
      <c r="B303" t="s">
        <v>484</v>
      </c>
      <c r="C303" s="9"/>
      <c r="D303" s="9"/>
      <c r="E303" s="9"/>
      <c r="F303" s="9"/>
      <c r="G303" s="9"/>
      <c r="H303" s="9">
        <v>1573000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>
        <f t="shared" si="5"/>
        <v>1573000</v>
      </c>
    </row>
    <row r="304" spans="1:28">
      <c r="B304" t="s">
        <v>494</v>
      </c>
      <c r="C304" s="9"/>
      <c r="D304" s="9">
        <v>3000000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>
        <f t="shared" ref="AB304:AB367" si="6">SUM(C304:AA304)</f>
        <v>3000000</v>
      </c>
    </row>
    <row r="305" spans="1:28">
      <c r="B305" t="s">
        <v>494</v>
      </c>
      <c r="C305" s="9"/>
      <c r="D305" s="9">
        <v>3000000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>
        <f t="shared" si="6"/>
        <v>3000000</v>
      </c>
    </row>
    <row r="306" spans="1:28">
      <c r="B306" t="s">
        <v>494</v>
      </c>
      <c r="C306" s="9"/>
      <c r="D306" s="9">
        <v>3000000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>
        <f t="shared" si="6"/>
        <v>3000000</v>
      </c>
    </row>
    <row r="307" spans="1:28">
      <c r="B307" t="s">
        <v>60</v>
      </c>
      <c r="C307" s="9"/>
      <c r="D307" s="9"/>
      <c r="E307" s="9"/>
      <c r="F307" s="9">
        <v>656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>
        <f t="shared" si="6"/>
        <v>656</v>
      </c>
    </row>
    <row r="308" spans="1:28">
      <c r="B308" t="s">
        <v>494</v>
      </c>
      <c r="C308" s="9"/>
      <c r="D308" s="9">
        <v>3000000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>
        <f t="shared" si="6"/>
        <v>3000000</v>
      </c>
    </row>
    <row r="309" spans="1:28">
      <c r="B309" t="s">
        <v>60</v>
      </c>
      <c r="C309" s="9"/>
      <c r="D309" s="9"/>
      <c r="E309" s="9"/>
      <c r="F309" s="9">
        <v>62593.96</v>
      </c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>
        <f t="shared" si="6"/>
        <v>62593.96</v>
      </c>
    </row>
    <row r="310" spans="1:28">
      <c r="B310" t="s">
        <v>60</v>
      </c>
      <c r="C310" s="9"/>
      <c r="D310" s="9"/>
      <c r="E310" s="9"/>
      <c r="F310" s="9">
        <v>3129.7</v>
      </c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>
        <f t="shared" si="6"/>
        <v>3129.7</v>
      </c>
    </row>
    <row r="311" spans="1:28">
      <c r="A311" t="s">
        <v>394</v>
      </c>
      <c r="B311" t="s">
        <v>514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>
        <v>633106</v>
      </c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>
        <f t="shared" si="6"/>
        <v>633106</v>
      </c>
    </row>
    <row r="312" spans="1:28">
      <c r="B312" t="s">
        <v>494</v>
      </c>
      <c r="C312" s="9"/>
      <c r="D312" s="9">
        <v>1000000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>
        <f t="shared" si="6"/>
        <v>1000000</v>
      </c>
    </row>
    <row r="313" spans="1:28" ht="15" customHeight="1">
      <c r="B313" s="177" t="s">
        <v>483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>
        <v>427901.25</v>
      </c>
      <c r="AB313" s="9">
        <f t="shared" si="6"/>
        <v>427901.25</v>
      </c>
    </row>
    <row r="314" spans="1:28">
      <c r="B314" t="s">
        <v>533</v>
      </c>
      <c r="C314" s="9"/>
      <c r="D314" s="9"/>
      <c r="E314" s="9"/>
      <c r="F314" s="9"/>
      <c r="G314" s="9">
        <v>2000000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>
        <f t="shared" si="6"/>
        <v>2000000</v>
      </c>
    </row>
    <row r="315" spans="1:28">
      <c r="B315" t="s">
        <v>533</v>
      </c>
      <c r="C315" s="9"/>
      <c r="D315" s="9"/>
      <c r="E315" s="9"/>
      <c r="F315" s="9"/>
      <c r="G315" s="9">
        <v>1315081.95</v>
      </c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>
        <f t="shared" si="6"/>
        <v>1315081.95</v>
      </c>
    </row>
    <row r="316" spans="1:28">
      <c r="B316" t="s">
        <v>520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>
        <v>74000</v>
      </c>
      <c r="S316" s="9"/>
      <c r="T316" s="9"/>
      <c r="U316" s="9"/>
      <c r="V316" s="9"/>
      <c r="W316" s="9"/>
      <c r="X316" s="9"/>
      <c r="Y316" s="9"/>
      <c r="Z316" s="9"/>
      <c r="AA316" s="9"/>
      <c r="AB316" s="9">
        <f t="shared" si="6"/>
        <v>74000</v>
      </c>
    </row>
    <row r="317" spans="1:28">
      <c r="B317" t="s">
        <v>550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>
        <v>1650000</v>
      </c>
      <c r="W317" s="9"/>
      <c r="X317" s="9"/>
      <c r="Y317" s="9"/>
      <c r="Z317" s="9"/>
      <c r="AA317" s="9"/>
      <c r="AB317" s="9">
        <f t="shared" si="6"/>
        <v>1650000</v>
      </c>
    </row>
    <row r="318" spans="1:28">
      <c r="B318" t="s">
        <v>534</v>
      </c>
      <c r="C318" s="9"/>
      <c r="D318" s="9"/>
      <c r="E318" s="9">
        <v>2472246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>
        <f t="shared" si="6"/>
        <v>2472246</v>
      </c>
    </row>
    <row r="319" spans="1:28">
      <c r="B319" t="s">
        <v>60</v>
      </c>
      <c r="C319" s="9"/>
      <c r="D319" s="9"/>
      <c r="E319" s="9"/>
      <c r="F319" s="9">
        <v>840</v>
      </c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>
        <f t="shared" si="6"/>
        <v>840</v>
      </c>
    </row>
    <row r="320" spans="1:28">
      <c r="B320" t="s">
        <v>494</v>
      </c>
      <c r="C320" s="9"/>
      <c r="D320" s="9">
        <v>3000000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>
        <f t="shared" si="6"/>
        <v>3000000</v>
      </c>
    </row>
    <row r="321" spans="1:28">
      <c r="B321" t="s">
        <v>484</v>
      </c>
      <c r="C321" s="9"/>
      <c r="D321" s="9"/>
      <c r="E321" s="9"/>
      <c r="F321" s="9"/>
      <c r="G321" s="9"/>
      <c r="H321" s="9">
        <v>1393800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>
        <f t="shared" si="6"/>
        <v>1393800</v>
      </c>
    </row>
    <row r="322" spans="1:28">
      <c r="B322" t="s">
        <v>494</v>
      </c>
      <c r="C322" s="9"/>
      <c r="D322" s="9">
        <v>3000000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>
        <f t="shared" si="6"/>
        <v>3000000</v>
      </c>
    </row>
    <row r="323" spans="1:28">
      <c r="B323" t="s">
        <v>60</v>
      </c>
      <c r="C323" s="9"/>
      <c r="D323" s="9"/>
      <c r="E323" s="9"/>
      <c r="F323" s="9">
        <v>348</v>
      </c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>
        <f t="shared" si="6"/>
        <v>348</v>
      </c>
    </row>
    <row r="324" spans="1:28">
      <c r="B324" t="s">
        <v>494</v>
      </c>
      <c r="C324" s="9"/>
      <c r="D324" s="9">
        <v>3000000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>
        <f t="shared" si="6"/>
        <v>3000000</v>
      </c>
    </row>
    <row r="325" spans="1:28">
      <c r="B325" t="s">
        <v>549</v>
      </c>
      <c r="C325" s="9"/>
      <c r="D325" s="9"/>
      <c r="E325" s="9">
        <v>37347.25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>
        <f t="shared" si="6"/>
        <v>37347.25</v>
      </c>
    </row>
    <row r="326" spans="1:28">
      <c r="B326" t="s">
        <v>494</v>
      </c>
      <c r="C326" s="9"/>
      <c r="D326" s="9">
        <v>3000000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>
        <f t="shared" si="6"/>
        <v>3000000</v>
      </c>
    </row>
    <row r="327" spans="1:28">
      <c r="B327" t="s">
        <v>60</v>
      </c>
      <c r="C327" s="9"/>
      <c r="D327" s="9"/>
      <c r="E327" s="9"/>
      <c r="F327" s="9">
        <v>46024.46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>
        <f t="shared" si="6"/>
        <v>46024.46</v>
      </c>
    </row>
    <row r="328" spans="1:28">
      <c r="B328" t="s">
        <v>60</v>
      </c>
      <c r="C328" s="9"/>
      <c r="D328" s="9"/>
      <c r="E328" s="9"/>
      <c r="F328" s="9">
        <v>2301.21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>
        <f t="shared" si="6"/>
        <v>2301.21</v>
      </c>
    </row>
    <row r="329" spans="1:28">
      <c r="A329" t="s">
        <v>393</v>
      </c>
      <c r="B329" t="s">
        <v>514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>
        <v>530477</v>
      </c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>
        <f t="shared" si="6"/>
        <v>530477</v>
      </c>
    </row>
    <row r="330" spans="1:28">
      <c r="B330" t="s">
        <v>550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>
        <v>1685000</v>
      </c>
      <c r="W330" s="9"/>
      <c r="X330" s="9"/>
      <c r="Y330" s="9"/>
      <c r="Z330" s="9"/>
      <c r="AA330" s="9"/>
      <c r="AB330" s="9">
        <f t="shared" si="6"/>
        <v>1685000</v>
      </c>
    </row>
    <row r="331" spans="1:28">
      <c r="B331" t="s">
        <v>549</v>
      </c>
      <c r="C331" s="9"/>
      <c r="D331" s="9"/>
      <c r="E331" s="9"/>
      <c r="F331" s="9">
        <v>5186.3500000000004</v>
      </c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>
        <f t="shared" si="6"/>
        <v>5186.3500000000004</v>
      </c>
    </row>
    <row r="332" spans="1:28">
      <c r="B332" t="s">
        <v>533</v>
      </c>
      <c r="C332" s="9"/>
      <c r="D332" s="9"/>
      <c r="E332" s="9"/>
      <c r="F332" s="9"/>
      <c r="G332" s="9">
        <v>2000000</v>
      </c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>
        <f t="shared" si="6"/>
        <v>2000000</v>
      </c>
    </row>
    <row r="333" spans="1:28">
      <c r="B333" t="s">
        <v>533</v>
      </c>
      <c r="C333" s="9"/>
      <c r="D333" s="9"/>
      <c r="E333" s="9"/>
      <c r="F333" s="9"/>
      <c r="G333" s="9">
        <v>926527.77</v>
      </c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>
        <f t="shared" si="6"/>
        <v>926527.77</v>
      </c>
    </row>
    <row r="334" spans="1:28">
      <c r="B334" t="s">
        <v>60</v>
      </c>
      <c r="C334" s="9"/>
      <c r="D334" s="9"/>
      <c r="E334" s="9"/>
      <c r="F334" s="9">
        <v>2600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>
        <f t="shared" si="6"/>
        <v>2600</v>
      </c>
    </row>
    <row r="335" spans="1:28">
      <c r="B335" t="s">
        <v>60</v>
      </c>
      <c r="C335" s="9"/>
      <c r="D335" s="9"/>
      <c r="E335" s="9"/>
      <c r="F335" s="9">
        <v>5000</v>
      </c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>
        <f t="shared" si="6"/>
        <v>5000</v>
      </c>
    </row>
    <row r="336" spans="1:28">
      <c r="B336" t="s">
        <v>551</v>
      </c>
      <c r="C336" s="9"/>
      <c r="D336" s="9"/>
      <c r="E336" s="9">
        <v>698460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>
        <f t="shared" si="6"/>
        <v>698460</v>
      </c>
    </row>
    <row r="337" spans="1:28">
      <c r="B337" t="s">
        <v>552</v>
      </c>
      <c r="C337" s="9"/>
      <c r="D337" s="9"/>
      <c r="E337" s="9"/>
      <c r="F337" s="9"/>
      <c r="G337" s="9"/>
      <c r="H337" s="9">
        <v>1507000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>
        <f t="shared" si="6"/>
        <v>1507000</v>
      </c>
    </row>
    <row r="338" spans="1:28">
      <c r="B338" t="s">
        <v>60</v>
      </c>
      <c r="C338" s="9"/>
      <c r="D338" s="9"/>
      <c r="E338" s="9"/>
      <c r="F338" s="9">
        <v>296</v>
      </c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>
        <f t="shared" si="6"/>
        <v>296</v>
      </c>
    </row>
    <row r="339" spans="1:28">
      <c r="B339" t="s">
        <v>60</v>
      </c>
      <c r="C339" s="9"/>
      <c r="D339" s="9"/>
      <c r="E339" s="9"/>
      <c r="F339" s="9">
        <v>14835.3</v>
      </c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>
        <f t="shared" si="6"/>
        <v>14835.3</v>
      </c>
    </row>
    <row r="340" spans="1:28">
      <c r="B340" t="s">
        <v>60</v>
      </c>
      <c r="C340" s="9"/>
      <c r="D340" s="9"/>
      <c r="E340" s="9"/>
      <c r="F340" s="9">
        <v>741.77</v>
      </c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>
        <f t="shared" si="6"/>
        <v>741.77</v>
      </c>
    </row>
    <row r="341" spans="1:28">
      <c r="A341" t="s">
        <v>392</v>
      </c>
      <c r="B341" t="s">
        <v>514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>
        <v>1116797</v>
      </c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>
        <f t="shared" si="6"/>
        <v>1116797</v>
      </c>
    </row>
    <row r="342" spans="1:28">
      <c r="B342" t="s">
        <v>494</v>
      </c>
      <c r="C342" s="9"/>
      <c r="D342" s="9">
        <v>3000000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>
        <f t="shared" si="6"/>
        <v>3000000</v>
      </c>
    </row>
    <row r="343" spans="1:28">
      <c r="B343" t="s">
        <v>484</v>
      </c>
      <c r="C343" s="9"/>
      <c r="D343" s="9"/>
      <c r="E343" s="9"/>
      <c r="F343" s="9"/>
      <c r="G343" s="9"/>
      <c r="H343" s="9">
        <v>1904300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>
        <f t="shared" si="6"/>
        <v>1904300</v>
      </c>
    </row>
    <row r="344" spans="1:28">
      <c r="B344" t="s">
        <v>467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>
        <v>200000</v>
      </c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>
        <f t="shared" si="6"/>
        <v>200000</v>
      </c>
    </row>
    <row r="345" spans="1:28">
      <c r="B345" t="s">
        <v>467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>
        <v>40000</v>
      </c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>
        <f t="shared" si="6"/>
        <v>40000</v>
      </c>
    </row>
    <row r="346" spans="1:28">
      <c r="B346" t="s">
        <v>489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>
        <v>75000</v>
      </c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>
        <f t="shared" si="6"/>
        <v>75000</v>
      </c>
    </row>
    <row r="347" spans="1:28">
      <c r="B347" t="s">
        <v>458</v>
      </c>
      <c r="C347" s="9"/>
      <c r="D347" s="9"/>
      <c r="E347" s="9"/>
      <c r="F347" s="9"/>
      <c r="G347" s="9"/>
      <c r="H347" s="9"/>
      <c r="I347" s="9"/>
      <c r="J347" s="9"/>
      <c r="K347" s="9"/>
      <c r="L347" s="9">
        <v>13500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>
        <f t="shared" si="6"/>
        <v>13500</v>
      </c>
    </row>
    <row r="348" spans="1:28">
      <c r="B348" t="s">
        <v>494</v>
      </c>
      <c r="C348" s="9"/>
      <c r="D348" s="9">
        <v>3000000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>
        <f t="shared" si="6"/>
        <v>3000000</v>
      </c>
    </row>
    <row r="349" spans="1:28">
      <c r="B349" t="s">
        <v>475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>
        <v>231120</v>
      </c>
      <c r="X349" s="9"/>
      <c r="Y349" s="9"/>
      <c r="Z349" s="9"/>
      <c r="AA349" s="9"/>
      <c r="AB349" s="9">
        <f t="shared" si="6"/>
        <v>231120</v>
      </c>
    </row>
    <row r="350" spans="1:28">
      <c r="B350" t="s">
        <v>235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>
        <v>233698</v>
      </c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>
        <f t="shared" si="6"/>
        <v>233698</v>
      </c>
    </row>
    <row r="351" spans="1:28">
      <c r="B351" t="s">
        <v>550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>
        <v>1700000</v>
      </c>
      <c r="W351" s="9"/>
      <c r="X351" s="9"/>
      <c r="Y351" s="9"/>
      <c r="Z351" s="9"/>
      <c r="AA351" s="9"/>
      <c r="AB351" s="9">
        <f t="shared" si="6"/>
        <v>1700000</v>
      </c>
    </row>
    <row r="352" spans="1:28">
      <c r="B352" t="s">
        <v>553</v>
      </c>
      <c r="C352" s="9"/>
      <c r="D352" s="9"/>
      <c r="E352" s="9"/>
      <c r="F352" s="9"/>
      <c r="G352" s="9"/>
      <c r="H352" s="9">
        <v>1000000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>
        <f t="shared" si="6"/>
        <v>1000000</v>
      </c>
    </row>
    <row r="353" spans="1:28">
      <c r="B353" t="s">
        <v>533</v>
      </c>
      <c r="C353" s="9"/>
      <c r="D353" s="9"/>
      <c r="E353" s="9"/>
      <c r="F353" s="9"/>
      <c r="G353" s="9">
        <v>1291245.69</v>
      </c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>
        <f t="shared" si="6"/>
        <v>1291245.69</v>
      </c>
    </row>
    <row r="354" spans="1:28">
      <c r="B354" t="s">
        <v>554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>
        <v>105470</v>
      </c>
      <c r="S354" s="9"/>
      <c r="T354" s="9"/>
      <c r="U354" s="9"/>
      <c r="V354" s="9"/>
      <c r="W354" s="9"/>
      <c r="X354" s="9"/>
      <c r="Y354" s="9"/>
      <c r="Z354" s="9"/>
      <c r="AA354" s="9"/>
      <c r="AB354" s="9">
        <f t="shared" si="6"/>
        <v>105470</v>
      </c>
    </row>
    <row r="355" spans="1:28">
      <c r="B355" t="s">
        <v>494</v>
      </c>
      <c r="C355" s="9"/>
      <c r="D355" s="9">
        <v>2000000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>
        <f t="shared" si="6"/>
        <v>2000000</v>
      </c>
    </row>
    <row r="356" spans="1:28">
      <c r="B356" t="s">
        <v>551</v>
      </c>
      <c r="C356" s="9"/>
      <c r="D356" s="9"/>
      <c r="E356" s="9">
        <v>203700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>
        <f t="shared" si="6"/>
        <v>203700</v>
      </c>
    </row>
    <row r="357" spans="1:28">
      <c r="B357" t="s">
        <v>484</v>
      </c>
      <c r="C357" s="9"/>
      <c r="D357" s="9"/>
      <c r="E357" s="9"/>
      <c r="F357" s="9"/>
      <c r="G357" s="9"/>
      <c r="H357" s="9">
        <v>1507000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>
        <f t="shared" si="6"/>
        <v>1507000</v>
      </c>
    </row>
    <row r="358" spans="1:28">
      <c r="B358" t="s">
        <v>467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>
        <v>99037.119999999995</v>
      </c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>
        <f t="shared" si="6"/>
        <v>99037.119999999995</v>
      </c>
    </row>
    <row r="359" spans="1:28">
      <c r="B359" t="s">
        <v>494</v>
      </c>
      <c r="C359" s="9"/>
      <c r="D359" s="9">
        <v>3000000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>
        <f t="shared" si="6"/>
        <v>3000000</v>
      </c>
    </row>
    <row r="360" spans="1:28">
      <c r="B360" t="s">
        <v>494</v>
      </c>
      <c r="C360" s="9"/>
      <c r="D360" s="9">
        <v>3000000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>
        <f t="shared" si="6"/>
        <v>3000000</v>
      </c>
    </row>
    <row r="361" spans="1:28">
      <c r="B361" t="s">
        <v>60</v>
      </c>
      <c r="C361" s="9"/>
      <c r="D361" s="9"/>
      <c r="E361" s="9"/>
      <c r="F361" s="9">
        <v>324</v>
      </c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>
        <f t="shared" si="6"/>
        <v>324</v>
      </c>
    </row>
    <row r="362" spans="1:28">
      <c r="B362" t="s">
        <v>60</v>
      </c>
      <c r="C362" s="9"/>
      <c r="D362" s="9"/>
      <c r="E362" s="9"/>
      <c r="F362" s="9">
        <v>47441.73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>
        <f t="shared" si="6"/>
        <v>47441.73</v>
      </c>
    </row>
    <row r="363" spans="1:28">
      <c r="B363" t="s">
        <v>60</v>
      </c>
      <c r="C363" s="9"/>
      <c r="D363" s="9"/>
      <c r="E363" s="9"/>
      <c r="F363" s="9">
        <v>2372.08</v>
      </c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>
        <f t="shared" si="6"/>
        <v>2372.08</v>
      </c>
    </row>
    <row r="364" spans="1:28">
      <c r="A364" t="s">
        <v>391</v>
      </c>
      <c r="B364" t="s">
        <v>494</v>
      </c>
      <c r="C364" s="9"/>
      <c r="D364" s="9">
        <v>3000000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>
        <f t="shared" si="6"/>
        <v>3000000</v>
      </c>
    </row>
    <row r="365" spans="1:28">
      <c r="B365" t="s">
        <v>550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>
        <v>1830000</v>
      </c>
      <c r="W365" s="9"/>
      <c r="X365" s="9"/>
      <c r="Y365" s="9"/>
      <c r="Z365" s="9"/>
      <c r="AA365" s="9"/>
      <c r="AB365" s="9">
        <f t="shared" si="6"/>
        <v>1830000</v>
      </c>
    </row>
    <row r="366" spans="1:28">
      <c r="B366" t="s">
        <v>494</v>
      </c>
      <c r="C366" s="9"/>
      <c r="D366" s="9">
        <v>3000000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>
        <f t="shared" si="6"/>
        <v>3000000</v>
      </c>
    </row>
    <row r="367" spans="1:28">
      <c r="B367" t="s">
        <v>494</v>
      </c>
      <c r="C367" s="9"/>
      <c r="D367" s="9">
        <v>3000000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>
        <f t="shared" si="6"/>
        <v>3000000</v>
      </c>
    </row>
    <row r="368" spans="1:28">
      <c r="B368" t="s">
        <v>484</v>
      </c>
      <c r="C368" s="9"/>
      <c r="D368" s="9"/>
      <c r="E368" s="9"/>
      <c r="F368" s="9"/>
      <c r="G368" s="9"/>
      <c r="H368" s="9">
        <v>1665000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>
        <f t="shared" ref="AB368:AB390" si="7">SUM(C368:AA368)</f>
        <v>1665000</v>
      </c>
    </row>
    <row r="369" spans="2:28">
      <c r="B369" t="s">
        <v>60</v>
      </c>
      <c r="C369" s="9"/>
      <c r="D369" s="9"/>
      <c r="E369" s="9"/>
      <c r="F369" s="9">
        <v>105</v>
      </c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>
        <f t="shared" si="7"/>
        <v>105</v>
      </c>
    </row>
    <row r="370" spans="2:28">
      <c r="B370" t="s">
        <v>494</v>
      </c>
      <c r="C370" s="9"/>
      <c r="D370" s="9">
        <v>3000000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>
        <f t="shared" si="7"/>
        <v>3000000</v>
      </c>
    </row>
    <row r="371" spans="2:28">
      <c r="B371" t="s">
        <v>494</v>
      </c>
      <c r="C371" s="9"/>
      <c r="D371" s="9">
        <v>3000000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>
        <f t="shared" si="7"/>
        <v>3000000</v>
      </c>
    </row>
    <row r="372" spans="2:28">
      <c r="B372" t="s">
        <v>555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>
        <v>126500</v>
      </c>
      <c r="S372" s="9"/>
      <c r="T372" s="9"/>
      <c r="U372" s="9"/>
      <c r="V372" s="9"/>
      <c r="W372" s="9"/>
      <c r="X372" s="9"/>
      <c r="Y372" s="9"/>
      <c r="Z372" s="9"/>
      <c r="AA372" s="9"/>
      <c r="AB372" s="9">
        <f t="shared" si="7"/>
        <v>126500</v>
      </c>
    </row>
    <row r="373" spans="2:28">
      <c r="B373" t="s">
        <v>494</v>
      </c>
      <c r="C373" s="9"/>
      <c r="D373" s="9">
        <v>3000000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>
        <f t="shared" si="7"/>
        <v>3000000</v>
      </c>
    </row>
    <row r="374" spans="2:28">
      <c r="B374" t="s">
        <v>549</v>
      </c>
      <c r="C374" s="9"/>
      <c r="D374" s="9"/>
      <c r="E374" s="9"/>
      <c r="F374" s="9">
        <v>7146</v>
      </c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>
        <f t="shared" si="7"/>
        <v>7146</v>
      </c>
    </row>
    <row r="375" spans="2:28">
      <c r="B375" t="s">
        <v>549</v>
      </c>
      <c r="C375" s="9"/>
      <c r="D375" s="9"/>
      <c r="E375" s="9"/>
      <c r="F375" s="9">
        <v>3989.5</v>
      </c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>
        <f t="shared" si="7"/>
        <v>3989.5</v>
      </c>
    </row>
    <row r="376" spans="2:28">
      <c r="B376" t="s">
        <v>549</v>
      </c>
      <c r="C376" s="9"/>
      <c r="D376" s="9"/>
      <c r="E376" s="9"/>
      <c r="F376" s="9">
        <v>25666.05</v>
      </c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>
        <f t="shared" si="7"/>
        <v>25666.05</v>
      </c>
    </row>
    <row r="377" spans="2:28">
      <c r="B377" t="s">
        <v>549</v>
      </c>
      <c r="C377" s="9"/>
      <c r="D377" s="9"/>
      <c r="E377" s="9"/>
      <c r="F377" s="9">
        <v>19955.400000000001</v>
      </c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>
        <f t="shared" si="7"/>
        <v>19955.400000000001</v>
      </c>
    </row>
    <row r="378" spans="2:28">
      <c r="B378" t="s">
        <v>549</v>
      </c>
      <c r="C378" s="9"/>
      <c r="D378" s="9"/>
      <c r="E378" s="9"/>
      <c r="F378" s="9">
        <v>20961.599999999999</v>
      </c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>
        <f t="shared" si="7"/>
        <v>20961.599999999999</v>
      </c>
    </row>
    <row r="379" spans="2:28">
      <c r="B379" t="s">
        <v>494</v>
      </c>
      <c r="C379" s="9"/>
      <c r="D379" s="9">
        <v>3000000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>
        <f t="shared" si="7"/>
        <v>3000000</v>
      </c>
    </row>
    <row r="380" spans="2:28">
      <c r="B380" t="s">
        <v>494</v>
      </c>
      <c r="C380" s="9"/>
      <c r="D380" s="9">
        <v>3000000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>
        <f t="shared" si="7"/>
        <v>3000000</v>
      </c>
    </row>
    <row r="381" spans="2:28">
      <c r="B381" t="s">
        <v>484</v>
      </c>
      <c r="C381" s="9"/>
      <c r="D381" s="9"/>
      <c r="E381" s="9"/>
      <c r="F381" s="9"/>
      <c r="G381" s="9"/>
      <c r="H381" s="9">
        <v>1595000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>
        <f t="shared" si="7"/>
        <v>1595000</v>
      </c>
    </row>
    <row r="382" spans="2:28">
      <c r="B382" t="s">
        <v>487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>
        <v>413595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>
        <f t="shared" si="7"/>
        <v>413595</v>
      </c>
    </row>
    <row r="383" spans="2:28">
      <c r="B383" t="s">
        <v>556</v>
      </c>
      <c r="C383" s="9"/>
      <c r="D383" s="9"/>
      <c r="E383" s="9"/>
      <c r="F383" s="9"/>
      <c r="G383" s="9"/>
      <c r="H383" s="9"/>
      <c r="I383" s="9">
        <v>280000</v>
      </c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>
        <f t="shared" si="7"/>
        <v>280000</v>
      </c>
    </row>
    <row r="384" spans="2:28">
      <c r="B384" t="s">
        <v>557</v>
      </c>
      <c r="C384" s="9"/>
      <c r="D384" s="9"/>
      <c r="E384" s="9">
        <v>342510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>
        <f t="shared" si="7"/>
        <v>342510</v>
      </c>
    </row>
    <row r="385" spans="1:28">
      <c r="B385" t="s">
        <v>60</v>
      </c>
      <c r="C385" s="9"/>
      <c r="D385" s="9"/>
      <c r="E385" s="9"/>
      <c r="F385" s="9">
        <v>348</v>
      </c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>
        <f t="shared" si="7"/>
        <v>348</v>
      </c>
    </row>
    <row r="386" spans="1:28">
      <c r="B386" t="s">
        <v>494</v>
      </c>
      <c r="C386" s="9"/>
      <c r="D386" s="9">
        <v>3000000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>
        <f t="shared" si="7"/>
        <v>3000000</v>
      </c>
    </row>
    <row r="387" spans="1:28">
      <c r="B387" t="s">
        <v>494</v>
      </c>
      <c r="C387" s="9"/>
      <c r="D387" s="9">
        <v>3000000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>
        <f t="shared" si="7"/>
        <v>3000000</v>
      </c>
    </row>
    <row r="388" spans="1:28">
      <c r="B388" t="s">
        <v>60</v>
      </c>
      <c r="C388" s="9"/>
      <c r="D388" s="9"/>
      <c r="E388" s="9"/>
      <c r="F388" s="9">
        <v>72660.850000000006</v>
      </c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>
        <f t="shared" si="7"/>
        <v>72660.850000000006</v>
      </c>
    </row>
    <row r="389" spans="1:28">
      <c r="B389" t="s">
        <v>60</v>
      </c>
      <c r="C389" s="9"/>
      <c r="D389" s="9"/>
      <c r="E389" s="9"/>
      <c r="F389" s="9">
        <v>3633.05</v>
      </c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>
        <f t="shared" si="7"/>
        <v>3633.05</v>
      </c>
    </row>
    <row r="390" spans="1:28">
      <c r="C390" s="9">
        <f>SUM(C49:C389)</f>
        <v>20826918.57</v>
      </c>
      <c r="D390" s="9">
        <f t="shared" ref="D390:AA390" si="8">SUM(D49:D389)</f>
        <v>211630000</v>
      </c>
      <c r="E390" s="9">
        <f t="shared" si="8"/>
        <v>206296827.53</v>
      </c>
      <c r="F390" s="9">
        <f t="shared" si="8"/>
        <v>1441551.33</v>
      </c>
      <c r="G390" s="9">
        <f t="shared" si="8"/>
        <v>20841177.539999999</v>
      </c>
      <c r="H390" s="9">
        <f t="shared" si="8"/>
        <v>57292477</v>
      </c>
      <c r="I390" s="9">
        <f t="shared" si="8"/>
        <v>825775.98</v>
      </c>
      <c r="J390" s="9">
        <f t="shared" si="8"/>
        <v>259642</v>
      </c>
      <c r="K390" s="9"/>
      <c r="L390" s="9">
        <f t="shared" si="8"/>
        <v>67500</v>
      </c>
      <c r="M390" s="9">
        <f t="shared" si="8"/>
        <v>2601352</v>
      </c>
      <c r="N390" s="9">
        <f t="shared" si="8"/>
        <v>2773777</v>
      </c>
      <c r="O390" s="9">
        <f t="shared" si="8"/>
        <v>12337918</v>
      </c>
      <c r="P390" s="9">
        <f t="shared" si="8"/>
        <v>375000</v>
      </c>
      <c r="Q390" s="9">
        <f t="shared" si="8"/>
        <v>5716519.5700000003</v>
      </c>
      <c r="R390" s="9">
        <f t="shared" si="8"/>
        <v>867770</v>
      </c>
      <c r="S390" s="9">
        <f t="shared" si="8"/>
        <v>155000</v>
      </c>
      <c r="T390" s="9">
        <f t="shared" si="8"/>
        <v>254771.03</v>
      </c>
      <c r="U390" s="9">
        <f t="shared" si="8"/>
        <v>1028900</v>
      </c>
      <c r="V390" s="9">
        <f t="shared" si="8"/>
        <v>16285000</v>
      </c>
      <c r="W390" s="9">
        <f t="shared" si="8"/>
        <v>970156</v>
      </c>
      <c r="X390" s="9">
        <f t="shared" si="8"/>
        <v>0</v>
      </c>
      <c r="Y390" s="9">
        <f t="shared" si="8"/>
        <v>204992</v>
      </c>
      <c r="Z390" s="9">
        <f t="shared" si="8"/>
        <v>0</v>
      </c>
      <c r="AA390" s="9">
        <f t="shared" si="8"/>
        <v>1811685.75</v>
      </c>
      <c r="AB390" s="9">
        <f t="shared" si="7"/>
        <v>564864711.30000007</v>
      </c>
    </row>
    <row r="391" spans="1:28">
      <c r="A391" s="180"/>
      <c r="B391" s="180"/>
      <c r="C391" s="181"/>
      <c r="D391" s="181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</row>
    <row r="392" spans="1:28"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1:28">
      <c r="A393">
        <v>3</v>
      </c>
      <c r="B393" s="1" t="s">
        <v>427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1:28">
      <c r="A394" t="s">
        <v>397</v>
      </c>
      <c r="B394" t="s">
        <v>60</v>
      </c>
      <c r="C394" s="9"/>
      <c r="D394" s="9"/>
      <c r="E394" s="9"/>
      <c r="F394" s="9">
        <v>2100</v>
      </c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>
        <f t="shared" ref="AB394:AB416" si="9">SUM(C394:AA394)</f>
        <v>2100</v>
      </c>
    </row>
    <row r="395" spans="1:28">
      <c r="B395" t="s">
        <v>60</v>
      </c>
      <c r="C395" s="9"/>
      <c r="D395" s="9"/>
      <c r="E395" s="9"/>
      <c r="F395" s="9">
        <v>198.49</v>
      </c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>
        <f t="shared" si="9"/>
        <v>198.49</v>
      </c>
    </row>
    <row r="396" spans="1:28">
      <c r="A396" t="s">
        <v>396</v>
      </c>
      <c r="B396" t="s">
        <v>60</v>
      </c>
      <c r="C396" s="9"/>
      <c r="D396" s="9"/>
      <c r="E396" s="9"/>
      <c r="F396" s="9">
        <v>1.03</v>
      </c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>
        <f t="shared" si="9"/>
        <v>1.03</v>
      </c>
    </row>
    <row r="397" spans="1:28">
      <c r="A397" t="s">
        <v>395</v>
      </c>
      <c r="B397" t="s">
        <v>494</v>
      </c>
      <c r="C397" s="9"/>
      <c r="D397" s="9">
        <v>3000000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>
        <f t="shared" si="9"/>
        <v>3000000</v>
      </c>
    </row>
    <row r="398" spans="1:28">
      <c r="B398" t="s">
        <v>494</v>
      </c>
      <c r="C398" s="9"/>
      <c r="D398" s="9">
        <v>3000000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>
        <f t="shared" si="9"/>
        <v>3000000</v>
      </c>
    </row>
    <row r="399" spans="1:28">
      <c r="B399" t="s">
        <v>494</v>
      </c>
      <c r="C399" s="9"/>
      <c r="D399" s="9">
        <v>3000000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>
        <f t="shared" si="9"/>
        <v>3000000</v>
      </c>
    </row>
    <row r="400" spans="1:28">
      <c r="B400" t="s">
        <v>494</v>
      </c>
      <c r="C400" s="9"/>
      <c r="D400" s="9">
        <v>3000000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>
        <f t="shared" si="9"/>
        <v>3000000</v>
      </c>
    </row>
    <row r="401" spans="1:28">
      <c r="B401" t="s">
        <v>494</v>
      </c>
      <c r="C401" s="9"/>
      <c r="D401" s="9">
        <v>3000000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>
        <f t="shared" si="9"/>
        <v>3000000</v>
      </c>
    </row>
    <row r="402" spans="1:28">
      <c r="B402" t="s">
        <v>533</v>
      </c>
      <c r="C402" s="9"/>
      <c r="D402" s="9"/>
      <c r="E402" s="9"/>
      <c r="F402" s="9"/>
      <c r="G402" s="9">
        <v>3158410.61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>
        <f t="shared" si="9"/>
        <v>3158410.61</v>
      </c>
    </row>
    <row r="403" spans="1:28">
      <c r="B403" t="s">
        <v>550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>
        <v>1650000</v>
      </c>
      <c r="W403" s="9"/>
      <c r="X403" s="9"/>
      <c r="Y403" s="9"/>
      <c r="Z403" s="9"/>
      <c r="AA403" s="9"/>
      <c r="AB403" s="9">
        <f t="shared" si="9"/>
        <v>1650000</v>
      </c>
    </row>
    <row r="404" spans="1:28">
      <c r="B404" t="s">
        <v>494</v>
      </c>
      <c r="C404" s="9"/>
      <c r="D404" s="9">
        <v>3000000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>
        <f t="shared" si="9"/>
        <v>3000000</v>
      </c>
    </row>
    <row r="405" spans="1:28">
      <c r="B405" t="s">
        <v>494</v>
      </c>
      <c r="C405" s="9"/>
      <c r="D405" s="9">
        <v>2000000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>
        <f t="shared" si="9"/>
        <v>2000000</v>
      </c>
    </row>
    <row r="406" spans="1:28">
      <c r="B406" t="s">
        <v>494</v>
      </c>
      <c r="C406" s="9"/>
      <c r="D406" s="9">
        <v>3000000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>
        <f t="shared" si="9"/>
        <v>3000000</v>
      </c>
    </row>
    <row r="407" spans="1:28">
      <c r="B407" t="s">
        <v>558</v>
      </c>
      <c r="C407" s="9"/>
      <c r="D407" s="9"/>
      <c r="E407" s="9"/>
      <c r="F407" s="9">
        <v>15000</v>
      </c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>
        <f t="shared" si="9"/>
        <v>15000</v>
      </c>
    </row>
    <row r="408" spans="1:28">
      <c r="B408" t="s">
        <v>559</v>
      </c>
      <c r="C408" s="9"/>
      <c r="D408" s="9"/>
      <c r="E408" s="9">
        <v>42541.5</v>
      </c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>
        <f t="shared" si="9"/>
        <v>42541.5</v>
      </c>
    </row>
    <row r="409" spans="1:28">
      <c r="B409" t="s">
        <v>494</v>
      </c>
      <c r="C409" s="9"/>
      <c r="D409" s="9">
        <v>3000000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>
        <f t="shared" si="9"/>
        <v>3000000</v>
      </c>
    </row>
    <row r="410" spans="1:28">
      <c r="B410" t="s">
        <v>484</v>
      </c>
      <c r="C410" s="9"/>
      <c r="D410" s="9"/>
      <c r="E410" s="9"/>
      <c r="F410" s="9"/>
      <c r="G410" s="9"/>
      <c r="H410" s="9">
        <v>1573000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>
        <f t="shared" si="9"/>
        <v>1573000</v>
      </c>
    </row>
    <row r="411" spans="1:28">
      <c r="B411" t="s">
        <v>60</v>
      </c>
      <c r="C411" s="9"/>
      <c r="D411" s="9"/>
      <c r="E411" s="9"/>
      <c r="F411" s="9">
        <v>61646.82</v>
      </c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>
        <f t="shared" si="9"/>
        <v>61646.82</v>
      </c>
    </row>
    <row r="412" spans="1:28">
      <c r="B412" t="s">
        <v>60</v>
      </c>
      <c r="C412" s="9"/>
      <c r="D412" s="9"/>
      <c r="E412" s="9"/>
      <c r="F412" s="9">
        <v>3082.34</v>
      </c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>
        <f t="shared" si="9"/>
        <v>3082.34</v>
      </c>
    </row>
    <row r="413" spans="1:28">
      <c r="A413" t="s">
        <v>394</v>
      </c>
      <c r="B413" t="s">
        <v>494</v>
      </c>
      <c r="C413" s="9"/>
      <c r="D413" s="9">
        <v>3000000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>
        <f t="shared" si="9"/>
        <v>3000000</v>
      </c>
    </row>
    <row r="414" spans="1:28">
      <c r="B414" t="s">
        <v>484</v>
      </c>
      <c r="C414" s="9"/>
      <c r="D414" s="9"/>
      <c r="E414" s="9"/>
      <c r="F414" s="9"/>
      <c r="G414" s="9"/>
      <c r="H414" s="9">
        <v>1573000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>
        <f t="shared" si="9"/>
        <v>1573000</v>
      </c>
    </row>
    <row r="415" spans="1:28">
      <c r="B415" t="s">
        <v>374</v>
      </c>
      <c r="C415" s="9"/>
      <c r="D415" s="9"/>
      <c r="E415" s="9"/>
      <c r="F415" s="9"/>
      <c r="G415" s="9"/>
      <c r="H415" s="9"/>
      <c r="I415" s="9"/>
      <c r="J415" s="9"/>
      <c r="K415" s="9">
        <v>1000000</v>
      </c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>
        <f t="shared" si="9"/>
        <v>1000000</v>
      </c>
    </row>
    <row r="416" spans="1:28">
      <c r="B416" t="s">
        <v>494</v>
      </c>
      <c r="C416" s="9"/>
      <c r="D416" s="9">
        <v>3000000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>
        <f t="shared" si="9"/>
        <v>3000000</v>
      </c>
    </row>
    <row r="417" spans="1:28">
      <c r="B417" t="s">
        <v>494</v>
      </c>
      <c r="C417" s="9"/>
      <c r="D417" s="9">
        <v>3000000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>
        <f t="shared" ref="AB417:AB481" si="10">SUM(C417:AA417)</f>
        <v>3000000</v>
      </c>
    </row>
    <row r="418" spans="1:28">
      <c r="B418" t="s">
        <v>490</v>
      </c>
      <c r="C418" s="9"/>
      <c r="D418" s="9"/>
      <c r="E418" s="9">
        <v>1354167</v>
      </c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>
        <f t="shared" si="10"/>
        <v>1354167</v>
      </c>
    </row>
    <row r="419" spans="1:28">
      <c r="B419" t="s">
        <v>494</v>
      </c>
      <c r="C419" s="9"/>
      <c r="D419" s="9">
        <v>3000000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>
        <f t="shared" si="10"/>
        <v>3000000</v>
      </c>
    </row>
    <row r="420" spans="1:28">
      <c r="B420" t="s">
        <v>60</v>
      </c>
      <c r="C420" s="9"/>
      <c r="D420" s="9"/>
      <c r="E420" s="9"/>
      <c r="F420" s="9">
        <v>35000.33</v>
      </c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>
        <f t="shared" si="10"/>
        <v>35000.33</v>
      </c>
    </row>
    <row r="421" spans="1:28">
      <c r="B421" t="s">
        <v>60</v>
      </c>
      <c r="C421" s="9"/>
      <c r="D421" s="9"/>
      <c r="E421" s="9"/>
      <c r="F421" s="9">
        <v>1750.02</v>
      </c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>
        <f t="shared" si="10"/>
        <v>1750.02</v>
      </c>
    </row>
    <row r="422" spans="1:28">
      <c r="B422" t="s">
        <v>494</v>
      </c>
      <c r="C422" s="9"/>
      <c r="D422" s="9">
        <v>3000000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>
        <f t="shared" si="10"/>
        <v>3000000</v>
      </c>
    </row>
    <row r="423" spans="1:28">
      <c r="A423" t="s">
        <v>393</v>
      </c>
      <c r="B423" t="s">
        <v>494</v>
      </c>
      <c r="C423" s="9"/>
      <c r="D423" s="9">
        <v>3000000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>
        <f t="shared" si="10"/>
        <v>3000000</v>
      </c>
    </row>
    <row r="424" spans="1:28">
      <c r="B424" t="s">
        <v>484</v>
      </c>
      <c r="C424" s="9"/>
      <c r="D424" s="9"/>
      <c r="E424" s="9"/>
      <c r="F424" s="9"/>
      <c r="G424" s="9"/>
      <c r="H424" s="9">
        <v>1516600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>
        <f t="shared" si="10"/>
        <v>1516600</v>
      </c>
    </row>
    <row r="425" spans="1:28">
      <c r="B425" t="s">
        <v>494</v>
      </c>
      <c r="C425" s="9"/>
      <c r="D425" s="9">
        <v>3000000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>
        <f t="shared" si="10"/>
        <v>3000000</v>
      </c>
    </row>
    <row r="426" spans="1:28">
      <c r="B426" t="s">
        <v>494</v>
      </c>
      <c r="C426" s="9"/>
      <c r="D426" s="9">
        <v>2000000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>
        <f t="shared" si="10"/>
        <v>2000000</v>
      </c>
    </row>
    <row r="427" spans="1:28">
      <c r="B427" t="s">
        <v>100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>
        <v>211172</v>
      </c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>
        <f t="shared" si="10"/>
        <v>211172</v>
      </c>
    </row>
    <row r="428" spans="1:28">
      <c r="B428" t="s">
        <v>490</v>
      </c>
      <c r="C428" s="9"/>
      <c r="D428" s="9"/>
      <c r="E428" s="9">
        <v>1354167</v>
      </c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>
        <f t="shared" si="10"/>
        <v>1354167</v>
      </c>
    </row>
    <row r="429" spans="1:28">
      <c r="B429" t="s">
        <v>484</v>
      </c>
      <c r="C429" s="9"/>
      <c r="D429" s="9"/>
      <c r="E429" s="9"/>
      <c r="F429" s="9"/>
      <c r="G429" s="9"/>
      <c r="H429" s="9">
        <v>1551000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>
        <f t="shared" si="10"/>
        <v>1551000</v>
      </c>
    </row>
    <row r="430" spans="1:28">
      <c r="B430" t="s">
        <v>475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>
        <v>231120</v>
      </c>
      <c r="X430" s="9"/>
      <c r="Y430" s="9"/>
      <c r="Z430" s="9"/>
      <c r="AA430" s="9"/>
      <c r="AB430" s="9">
        <f t="shared" si="10"/>
        <v>231120</v>
      </c>
    </row>
    <row r="431" spans="1:28">
      <c r="B431" t="s">
        <v>374</v>
      </c>
      <c r="C431" s="9"/>
      <c r="D431" s="9"/>
      <c r="E431" s="9"/>
      <c r="F431" s="9"/>
      <c r="G431" s="9"/>
      <c r="H431" s="9"/>
      <c r="I431" s="9"/>
      <c r="J431" s="9"/>
      <c r="K431" s="9">
        <v>1000000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>
        <f t="shared" si="10"/>
        <v>1000000</v>
      </c>
    </row>
    <row r="432" spans="1:28">
      <c r="B432" t="s">
        <v>494</v>
      </c>
      <c r="C432" s="9"/>
      <c r="D432" s="9">
        <v>3000000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>
        <f t="shared" si="10"/>
        <v>3000000</v>
      </c>
    </row>
    <row r="433" spans="1:28">
      <c r="B433" t="s">
        <v>494</v>
      </c>
      <c r="C433" s="9"/>
      <c r="D433" s="9">
        <v>3000000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>
        <f t="shared" si="10"/>
        <v>3000000</v>
      </c>
    </row>
    <row r="434" spans="1:28">
      <c r="B434" t="s">
        <v>494</v>
      </c>
      <c r="C434" s="9"/>
      <c r="D434" s="9">
        <v>3000000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>
        <f t="shared" si="10"/>
        <v>3000000</v>
      </c>
    </row>
    <row r="435" spans="1:28">
      <c r="B435" t="s">
        <v>60</v>
      </c>
      <c r="C435" s="9"/>
      <c r="D435" s="9"/>
      <c r="E435" s="9"/>
      <c r="F435" s="9">
        <v>51728.12</v>
      </c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>
        <f t="shared" si="10"/>
        <v>51728.12</v>
      </c>
    </row>
    <row r="436" spans="1:28">
      <c r="B436" t="s">
        <v>60</v>
      </c>
      <c r="C436" s="9"/>
      <c r="D436" s="9"/>
      <c r="E436" s="9"/>
      <c r="F436" s="9">
        <v>2586.41</v>
      </c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>
        <f t="shared" si="10"/>
        <v>2586.41</v>
      </c>
    </row>
    <row r="437" spans="1:28">
      <c r="A437" t="s">
        <v>392</v>
      </c>
      <c r="B437" t="s">
        <v>494</v>
      </c>
      <c r="C437" s="9"/>
      <c r="D437" s="9">
        <v>500000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>
        <f t="shared" si="10"/>
        <v>500000</v>
      </c>
    </row>
    <row r="438" spans="1:28">
      <c r="B438" t="s">
        <v>235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>
        <v>2512319.25</v>
      </c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>
        <f t="shared" si="10"/>
        <v>2512319.25</v>
      </c>
    </row>
    <row r="439" spans="1:28">
      <c r="B439" t="s">
        <v>494</v>
      </c>
      <c r="C439" s="9"/>
      <c r="D439" s="9">
        <v>3000000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>
        <f t="shared" si="10"/>
        <v>3000000</v>
      </c>
    </row>
    <row r="440" spans="1:28">
      <c r="B440" t="s">
        <v>484</v>
      </c>
      <c r="C440" s="9"/>
      <c r="D440" s="9"/>
      <c r="E440" s="9"/>
      <c r="F440" s="9"/>
      <c r="G440" s="9"/>
      <c r="H440" s="9">
        <v>1530100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>
        <f t="shared" si="10"/>
        <v>1530100</v>
      </c>
    </row>
    <row r="441" spans="1:28">
      <c r="B441" t="s">
        <v>494</v>
      </c>
      <c r="C441" s="9"/>
      <c r="D441" s="9">
        <v>3000000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>
        <f t="shared" si="10"/>
        <v>3000000</v>
      </c>
    </row>
    <row r="442" spans="1:28">
      <c r="B442" t="s">
        <v>60</v>
      </c>
      <c r="C442" s="9"/>
      <c r="D442" s="9"/>
      <c r="E442" s="9"/>
      <c r="F442" s="9">
        <v>14204</v>
      </c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>
        <f t="shared" si="10"/>
        <v>14204</v>
      </c>
    </row>
    <row r="443" spans="1:28">
      <c r="B443" t="s">
        <v>533</v>
      </c>
      <c r="C443" s="9"/>
      <c r="D443" s="9"/>
      <c r="E443" s="9"/>
      <c r="F443" s="9"/>
      <c r="G443" s="9">
        <v>2304138.56</v>
      </c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>
        <f t="shared" si="10"/>
        <v>2304138.56</v>
      </c>
    </row>
    <row r="444" spans="1:28">
      <c r="B444" t="s">
        <v>490</v>
      </c>
      <c r="C444" s="9"/>
      <c r="D444" s="9"/>
      <c r="E444" s="9">
        <v>1354167</v>
      </c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>
        <f t="shared" si="10"/>
        <v>1354167</v>
      </c>
    </row>
    <row r="445" spans="1:28">
      <c r="B445" t="s">
        <v>494</v>
      </c>
      <c r="C445" s="9"/>
      <c r="D445" s="9">
        <v>3000000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>
        <f t="shared" si="10"/>
        <v>3000000</v>
      </c>
    </row>
    <row r="446" spans="1:28">
      <c r="B446" t="s">
        <v>60</v>
      </c>
      <c r="C446" s="9"/>
      <c r="D446" s="9"/>
      <c r="E446" s="9"/>
      <c r="F446" s="9">
        <v>32120</v>
      </c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>
        <f t="shared" si="10"/>
        <v>32120</v>
      </c>
    </row>
    <row r="447" spans="1:28">
      <c r="B447" t="s">
        <v>60</v>
      </c>
      <c r="C447" s="9"/>
      <c r="D447" s="9"/>
      <c r="E447" s="9"/>
      <c r="F447" s="9">
        <v>32120</v>
      </c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>
        <f t="shared" si="10"/>
        <v>32120</v>
      </c>
    </row>
    <row r="448" spans="1:28">
      <c r="B448" t="s">
        <v>494</v>
      </c>
      <c r="C448" s="9"/>
      <c r="D448" s="9">
        <v>3000000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>
        <f t="shared" si="10"/>
        <v>3000000</v>
      </c>
    </row>
    <row r="449" spans="1:28">
      <c r="B449" t="s">
        <v>494</v>
      </c>
      <c r="C449" s="9"/>
      <c r="D449" s="9">
        <v>3000000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>
        <f t="shared" si="10"/>
        <v>3000000</v>
      </c>
    </row>
    <row r="450" spans="1:28">
      <c r="B450" t="s">
        <v>494</v>
      </c>
      <c r="C450" s="9"/>
      <c r="D450" s="9">
        <v>3000000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>
        <f t="shared" si="10"/>
        <v>3000000</v>
      </c>
    </row>
    <row r="451" spans="1:28">
      <c r="B451" t="s">
        <v>494</v>
      </c>
      <c r="C451" s="9"/>
      <c r="D451" s="9">
        <v>3000000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>
        <f t="shared" si="10"/>
        <v>3000000</v>
      </c>
    </row>
    <row r="452" spans="1:28">
      <c r="B452" t="s">
        <v>60</v>
      </c>
      <c r="C452" s="9"/>
      <c r="D452" s="9"/>
      <c r="E452" s="9"/>
      <c r="F452" s="9">
        <v>17420</v>
      </c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>
        <f t="shared" si="10"/>
        <v>17420</v>
      </c>
    </row>
    <row r="453" spans="1:28">
      <c r="B453" t="s">
        <v>561</v>
      </c>
      <c r="C453" s="9"/>
      <c r="D453" s="9"/>
      <c r="E453" s="9">
        <v>6000000</v>
      </c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>
        <f t="shared" si="10"/>
        <v>6000000</v>
      </c>
    </row>
    <row r="454" spans="1:28">
      <c r="B454" t="s">
        <v>562</v>
      </c>
      <c r="C454" s="9"/>
      <c r="D454" s="9"/>
      <c r="E454" s="9">
        <v>6600000</v>
      </c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>
        <f t="shared" si="10"/>
        <v>6600000</v>
      </c>
    </row>
    <row r="455" spans="1:28">
      <c r="A455" t="s">
        <v>391</v>
      </c>
      <c r="B455" t="s">
        <v>60</v>
      </c>
      <c r="C455" s="9"/>
      <c r="D455" s="9"/>
      <c r="E455" s="9"/>
      <c r="F455" s="9">
        <v>83601.649999999994</v>
      </c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>
        <f t="shared" si="10"/>
        <v>83601.649999999994</v>
      </c>
    </row>
    <row r="456" spans="1:28">
      <c r="B456" t="s">
        <v>60</v>
      </c>
      <c r="C456" s="9"/>
      <c r="D456" s="9"/>
      <c r="E456" s="9"/>
      <c r="F456" s="9">
        <v>4180.08</v>
      </c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>
        <f t="shared" si="10"/>
        <v>4180.08</v>
      </c>
    </row>
    <row r="457" spans="1:28">
      <c r="B457" t="s">
        <v>60</v>
      </c>
      <c r="C457" s="9"/>
      <c r="D457" s="9"/>
      <c r="E457" s="9"/>
      <c r="F457" s="9">
        <v>5984.25</v>
      </c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>
        <f t="shared" si="10"/>
        <v>5984.25</v>
      </c>
    </row>
    <row r="458" spans="1:28">
      <c r="B458" t="s">
        <v>494</v>
      </c>
      <c r="C458" s="9"/>
      <c r="D458" s="9">
        <v>3000000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>
        <f t="shared" si="10"/>
        <v>3000000</v>
      </c>
    </row>
    <row r="459" spans="1:28">
      <c r="B459" t="s">
        <v>60</v>
      </c>
      <c r="C459" s="9"/>
      <c r="D459" s="9"/>
      <c r="E459" s="9"/>
      <c r="F459" s="9">
        <v>7110</v>
      </c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>
        <f t="shared" si="10"/>
        <v>7110</v>
      </c>
    </row>
    <row r="460" spans="1:28">
      <c r="B460" t="s">
        <v>60</v>
      </c>
      <c r="C460" s="9"/>
      <c r="D460" s="9"/>
      <c r="E460" s="9"/>
      <c r="F460" s="9">
        <v>9900</v>
      </c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>
        <f t="shared" si="10"/>
        <v>9900</v>
      </c>
    </row>
    <row r="461" spans="1:28">
      <c r="B461" t="s">
        <v>235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>
        <v>2512319.25</v>
      </c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>
        <f t="shared" si="10"/>
        <v>2512319.25</v>
      </c>
    </row>
    <row r="462" spans="1:28">
      <c r="B462" t="s">
        <v>533</v>
      </c>
      <c r="C462" s="9"/>
      <c r="D462" s="9"/>
      <c r="E462" s="9"/>
      <c r="F462" s="9"/>
      <c r="G462" s="9">
        <v>1372705.53</v>
      </c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>
        <f t="shared" si="10"/>
        <v>1372705.53</v>
      </c>
    </row>
    <row r="463" spans="1:28">
      <c r="B463" t="s">
        <v>563</v>
      </c>
      <c r="C463" s="9"/>
      <c r="D463" s="9"/>
      <c r="E463" s="9">
        <v>190000</v>
      </c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>
        <f t="shared" si="10"/>
        <v>190000</v>
      </c>
    </row>
    <row r="464" spans="1:28">
      <c r="B464" t="s">
        <v>484</v>
      </c>
      <c r="C464" s="9"/>
      <c r="D464" s="9"/>
      <c r="E464" s="9"/>
      <c r="F464" s="9"/>
      <c r="G464" s="9"/>
      <c r="H464" s="9">
        <v>1595000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>
        <f t="shared" si="10"/>
        <v>1595000</v>
      </c>
    </row>
    <row r="465" spans="1:28">
      <c r="B465" t="s">
        <v>494</v>
      </c>
      <c r="C465" s="9"/>
      <c r="D465" s="9">
        <v>3000000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>
        <f t="shared" si="10"/>
        <v>3000000</v>
      </c>
    </row>
    <row r="466" spans="1:28">
      <c r="B466" t="s">
        <v>494</v>
      </c>
      <c r="C466" s="9"/>
      <c r="D466" s="9">
        <v>3000000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>
        <f t="shared" si="10"/>
        <v>3000000</v>
      </c>
    </row>
    <row r="467" spans="1:28">
      <c r="B467" t="s">
        <v>564</v>
      </c>
      <c r="C467" s="9"/>
      <c r="D467" s="9"/>
      <c r="E467" s="9">
        <v>408765</v>
      </c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>
        <f t="shared" si="10"/>
        <v>408765</v>
      </c>
    </row>
    <row r="468" spans="1:28">
      <c r="B468" t="s">
        <v>494</v>
      </c>
      <c r="C468" s="9"/>
      <c r="D468" s="9">
        <v>3000000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>
        <f t="shared" si="10"/>
        <v>3000000</v>
      </c>
    </row>
    <row r="469" spans="1:28">
      <c r="B469" t="s">
        <v>494</v>
      </c>
      <c r="C469" s="9"/>
      <c r="D469" s="9">
        <v>3000000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>
        <f t="shared" si="10"/>
        <v>3000000</v>
      </c>
    </row>
    <row r="470" spans="1:28">
      <c r="B470" t="s">
        <v>60</v>
      </c>
      <c r="C470" s="9"/>
      <c r="D470" s="9"/>
      <c r="E470" s="9"/>
      <c r="F470" s="9">
        <v>25760</v>
      </c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>
        <f t="shared" si="10"/>
        <v>25760</v>
      </c>
    </row>
    <row r="471" spans="1:28">
      <c r="B471" t="s">
        <v>60</v>
      </c>
      <c r="C471" s="9"/>
      <c r="D471" s="9"/>
      <c r="E471" s="9"/>
      <c r="F471" s="9">
        <v>25760</v>
      </c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>
        <f t="shared" si="10"/>
        <v>25760</v>
      </c>
    </row>
    <row r="472" spans="1:28">
      <c r="B472" t="s">
        <v>60</v>
      </c>
      <c r="C472" s="9"/>
      <c r="D472" s="9"/>
      <c r="E472" s="9"/>
      <c r="F472" s="9">
        <v>42157.58</v>
      </c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>
        <f t="shared" si="10"/>
        <v>42157.58</v>
      </c>
    </row>
    <row r="473" spans="1:28">
      <c r="B473" t="s">
        <v>60</v>
      </c>
      <c r="C473" s="9"/>
      <c r="D473" s="9"/>
      <c r="E473" s="9"/>
      <c r="F473" s="9">
        <v>2107.88</v>
      </c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>
        <f t="shared" si="10"/>
        <v>2107.88</v>
      </c>
    </row>
    <row r="474" spans="1:28">
      <c r="C474" s="9">
        <f>SUM(C394:C473)</f>
        <v>0</v>
      </c>
      <c r="D474" s="9">
        <f t="shared" ref="D474:AA474" si="11">SUM(D394:D473)</f>
        <v>94500000</v>
      </c>
      <c r="E474" s="9">
        <f t="shared" si="11"/>
        <v>17303807.5</v>
      </c>
      <c r="F474" s="9">
        <f t="shared" si="11"/>
        <v>475519</v>
      </c>
      <c r="G474" s="9">
        <f t="shared" si="11"/>
        <v>6835254.7000000002</v>
      </c>
      <c r="H474" s="9">
        <f t="shared" si="11"/>
        <v>9338700</v>
      </c>
      <c r="I474" s="9">
        <f t="shared" si="11"/>
        <v>0</v>
      </c>
      <c r="J474" s="9">
        <f t="shared" si="11"/>
        <v>0</v>
      </c>
      <c r="K474" s="9">
        <f t="shared" si="11"/>
        <v>2000000</v>
      </c>
      <c r="L474" s="9">
        <f t="shared" si="11"/>
        <v>0</v>
      </c>
      <c r="M474" s="9">
        <f t="shared" si="11"/>
        <v>5235810.5</v>
      </c>
      <c r="N474" s="9">
        <f t="shared" si="11"/>
        <v>0</v>
      </c>
      <c r="O474" s="9">
        <f t="shared" si="11"/>
        <v>0</v>
      </c>
      <c r="P474" s="9">
        <f t="shared" si="11"/>
        <v>0</v>
      </c>
      <c r="Q474" s="9">
        <f t="shared" si="11"/>
        <v>0</v>
      </c>
      <c r="R474" s="9">
        <f t="shared" si="11"/>
        <v>0</v>
      </c>
      <c r="S474" s="9">
        <f t="shared" si="11"/>
        <v>0</v>
      </c>
      <c r="T474" s="9">
        <f t="shared" si="11"/>
        <v>0</v>
      </c>
      <c r="U474" s="9">
        <f t="shared" si="11"/>
        <v>0</v>
      </c>
      <c r="V474" s="9">
        <f t="shared" si="11"/>
        <v>1650000</v>
      </c>
      <c r="W474" s="9">
        <f t="shared" si="11"/>
        <v>231120</v>
      </c>
      <c r="X474" s="9">
        <f t="shared" si="11"/>
        <v>0</v>
      </c>
      <c r="Y474" s="9">
        <f t="shared" si="11"/>
        <v>0</v>
      </c>
      <c r="Z474" s="9">
        <f t="shared" si="11"/>
        <v>0</v>
      </c>
      <c r="AA474" s="9">
        <f t="shared" si="11"/>
        <v>0</v>
      </c>
      <c r="AB474" s="9">
        <f t="shared" si="10"/>
        <v>137570211.69999999</v>
      </c>
    </row>
    <row r="475" spans="1:28">
      <c r="A475" s="180"/>
      <c r="B475" s="180"/>
      <c r="C475" s="181"/>
      <c r="D475" s="181"/>
      <c r="E475" s="181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1"/>
      <c r="Q475" s="181"/>
      <c r="R475" s="181"/>
      <c r="S475" s="181"/>
      <c r="T475" s="181"/>
      <c r="U475" s="181"/>
      <c r="V475" s="181"/>
      <c r="W475" s="181"/>
      <c r="X475" s="181"/>
      <c r="Y475" s="181"/>
      <c r="Z475" s="181"/>
      <c r="AA475" s="181"/>
      <c r="AB475" s="181"/>
    </row>
    <row r="476" spans="1:28"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>
        <f t="shared" si="10"/>
        <v>0</v>
      </c>
    </row>
    <row r="477" spans="1:28">
      <c r="A477">
        <v>4</v>
      </c>
      <c r="B477" s="1" t="s">
        <v>444</v>
      </c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>
        <f t="shared" si="10"/>
        <v>0</v>
      </c>
    </row>
    <row r="478" spans="1:28">
      <c r="A478" t="s">
        <v>401</v>
      </c>
      <c r="B478" t="s">
        <v>60</v>
      </c>
      <c r="C478" s="9"/>
      <c r="D478" s="9"/>
      <c r="E478" s="9"/>
      <c r="F478" s="9">
        <v>2100</v>
      </c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>
        <f t="shared" si="10"/>
        <v>2100</v>
      </c>
    </row>
    <row r="479" spans="1:28">
      <c r="B479" t="s">
        <v>60</v>
      </c>
      <c r="C479" s="9"/>
      <c r="D479" s="9"/>
      <c r="E479" s="9"/>
      <c r="F479" s="9">
        <v>92</v>
      </c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>
        <f t="shared" si="10"/>
        <v>92</v>
      </c>
    </row>
    <row r="480" spans="1:28">
      <c r="B480" t="s">
        <v>494</v>
      </c>
      <c r="C480" s="9"/>
      <c r="D480" s="9">
        <v>1350000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>
        <f t="shared" si="10"/>
        <v>1350000</v>
      </c>
    </row>
    <row r="481" spans="1:28">
      <c r="B481" t="s">
        <v>565</v>
      </c>
      <c r="C481" s="9"/>
      <c r="D481" s="9"/>
      <c r="E481" s="9">
        <v>7900000</v>
      </c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>
        <f t="shared" si="10"/>
        <v>7900000</v>
      </c>
    </row>
    <row r="482" spans="1:28">
      <c r="B482" t="s">
        <v>60</v>
      </c>
      <c r="C482" s="9"/>
      <c r="D482" s="9"/>
      <c r="E482" s="9"/>
      <c r="F482" s="9">
        <v>525</v>
      </c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>
        <f t="shared" ref="AB482:AB545" si="12">SUM(C482:AA482)</f>
        <v>525</v>
      </c>
    </row>
    <row r="483" spans="1:28">
      <c r="B483" t="s">
        <v>566</v>
      </c>
      <c r="C483" s="9"/>
      <c r="D483" s="9"/>
      <c r="E483" s="9">
        <v>7900000</v>
      </c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>
        <f t="shared" si="12"/>
        <v>7900000</v>
      </c>
    </row>
    <row r="484" spans="1:28">
      <c r="B484" t="s">
        <v>60</v>
      </c>
      <c r="C484" s="9"/>
      <c r="D484" s="9"/>
      <c r="E484" s="9"/>
      <c r="F484" s="9">
        <v>525</v>
      </c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>
        <f t="shared" si="12"/>
        <v>525</v>
      </c>
    </row>
    <row r="485" spans="1:28">
      <c r="B485" t="s">
        <v>60</v>
      </c>
      <c r="C485" s="9"/>
      <c r="D485" s="9"/>
      <c r="E485" s="9"/>
      <c r="F485" s="9">
        <v>34915.769999999997</v>
      </c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>
        <f t="shared" si="12"/>
        <v>34915.769999999997</v>
      </c>
    </row>
    <row r="486" spans="1:28">
      <c r="B486" t="s">
        <v>60</v>
      </c>
      <c r="C486" s="9"/>
      <c r="D486" s="9"/>
      <c r="E486" s="9"/>
      <c r="F486" s="9">
        <v>1745.79</v>
      </c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>
        <f t="shared" si="12"/>
        <v>1745.79</v>
      </c>
    </row>
    <row r="487" spans="1:28">
      <c r="A487" t="s">
        <v>400</v>
      </c>
      <c r="B487" t="s">
        <v>494</v>
      </c>
      <c r="C487" s="9"/>
      <c r="D487" s="9">
        <v>3000000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>
        <f t="shared" si="12"/>
        <v>3000000</v>
      </c>
    </row>
    <row r="488" spans="1:28">
      <c r="B488" t="s">
        <v>567</v>
      </c>
      <c r="C488" s="9"/>
      <c r="D488" s="9"/>
      <c r="E488" s="9">
        <v>270235</v>
      </c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>
        <f t="shared" si="12"/>
        <v>270235</v>
      </c>
    </row>
    <row r="489" spans="1:28">
      <c r="B489" t="s">
        <v>484</v>
      </c>
      <c r="C489" s="9"/>
      <c r="D489" s="9"/>
      <c r="E489" s="9"/>
      <c r="F489" s="9"/>
      <c r="G489" s="9"/>
      <c r="H489" s="9">
        <v>3175210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>
        <f t="shared" si="12"/>
        <v>3175210</v>
      </c>
    </row>
    <row r="490" spans="1:28">
      <c r="B490" t="s">
        <v>514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>
        <v>1991220</v>
      </c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>
        <f t="shared" si="12"/>
        <v>1991220</v>
      </c>
    </row>
    <row r="491" spans="1:28">
      <c r="B491" t="s">
        <v>475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>
        <v>155096</v>
      </c>
      <c r="X491" s="9"/>
      <c r="Y491" s="9"/>
      <c r="Z491" s="9"/>
      <c r="AA491" s="9"/>
      <c r="AB491" s="9">
        <f t="shared" si="12"/>
        <v>155096</v>
      </c>
    </row>
    <row r="492" spans="1:28">
      <c r="B492" t="s">
        <v>467</v>
      </c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>
        <v>40000</v>
      </c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>
        <f t="shared" si="12"/>
        <v>40000</v>
      </c>
    </row>
    <row r="493" spans="1:28">
      <c r="B493" t="s">
        <v>467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>
        <v>200000</v>
      </c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>
        <f t="shared" si="12"/>
        <v>200000</v>
      </c>
    </row>
    <row r="494" spans="1:28">
      <c r="B494" t="s">
        <v>467</v>
      </c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>
        <v>103721.15</v>
      </c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>
        <f t="shared" si="12"/>
        <v>103721.15</v>
      </c>
    </row>
    <row r="495" spans="1:28">
      <c r="B495" t="s">
        <v>484</v>
      </c>
      <c r="C495" s="9"/>
      <c r="D495" s="9"/>
      <c r="E495" s="9"/>
      <c r="F495" s="9"/>
      <c r="G495" s="9"/>
      <c r="H495" s="9">
        <v>1573000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>
        <f t="shared" si="12"/>
        <v>1573000</v>
      </c>
    </row>
    <row r="496" spans="1:28">
      <c r="B496" t="s">
        <v>489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>
        <v>75000</v>
      </c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>
        <f t="shared" si="12"/>
        <v>75000</v>
      </c>
    </row>
    <row r="497" spans="1:28">
      <c r="B497" t="s">
        <v>567</v>
      </c>
      <c r="C497" s="9"/>
      <c r="D497" s="9"/>
      <c r="E497" s="9">
        <v>976500.32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>
        <f t="shared" si="12"/>
        <v>976500.32</v>
      </c>
    </row>
    <row r="498" spans="1:28">
      <c r="B498" t="s">
        <v>494</v>
      </c>
      <c r="C498" s="9"/>
      <c r="D498" s="9">
        <v>2000000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>
        <f t="shared" si="12"/>
        <v>2000000</v>
      </c>
    </row>
    <row r="499" spans="1:28">
      <c r="B499" t="s">
        <v>60</v>
      </c>
      <c r="C499" s="9"/>
      <c r="D499" s="9"/>
      <c r="E499" s="9"/>
      <c r="F499" s="9">
        <v>160</v>
      </c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>
        <f t="shared" si="12"/>
        <v>160</v>
      </c>
    </row>
    <row r="500" spans="1:28">
      <c r="B500" t="s">
        <v>60</v>
      </c>
      <c r="C500" s="9"/>
      <c r="D500" s="9"/>
      <c r="E500" s="9"/>
      <c r="F500" s="9">
        <v>27119.96</v>
      </c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>
        <f t="shared" si="12"/>
        <v>27119.96</v>
      </c>
    </row>
    <row r="501" spans="1:28">
      <c r="B501" t="s">
        <v>60</v>
      </c>
      <c r="C501" s="9"/>
      <c r="D501" s="9"/>
      <c r="E501" s="9"/>
      <c r="F501" s="9">
        <v>1356</v>
      </c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>
        <f t="shared" si="12"/>
        <v>1356</v>
      </c>
    </row>
    <row r="502" spans="1:28">
      <c r="A502" t="s">
        <v>399</v>
      </c>
      <c r="B502" t="s">
        <v>567</v>
      </c>
      <c r="C502" s="9"/>
      <c r="D502" s="9"/>
      <c r="E502" s="9">
        <v>155096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>
        <f t="shared" si="12"/>
        <v>155096</v>
      </c>
    </row>
    <row r="503" spans="1:28">
      <c r="B503" t="s">
        <v>458</v>
      </c>
      <c r="C503" s="9"/>
      <c r="D503" s="9"/>
      <c r="E503" s="9"/>
      <c r="F503" s="9"/>
      <c r="G503" s="9"/>
      <c r="H503" s="9"/>
      <c r="I503" s="9"/>
      <c r="J503" s="9"/>
      <c r="K503" s="9"/>
      <c r="L503" s="9">
        <v>13500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>
        <f t="shared" si="12"/>
        <v>13500</v>
      </c>
    </row>
    <row r="504" spans="1:28">
      <c r="B504" t="s">
        <v>458</v>
      </c>
      <c r="C504" s="9"/>
      <c r="D504" s="9"/>
      <c r="E504" s="9"/>
      <c r="F504" s="9"/>
      <c r="G504" s="9"/>
      <c r="H504" s="9"/>
      <c r="I504" s="9"/>
      <c r="J504" s="9"/>
      <c r="K504" s="9"/>
      <c r="L504" s="9">
        <v>13500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>
        <f t="shared" si="12"/>
        <v>13500</v>
      </c>
    </row>
    <row r="505" spans="1:28">
      <c r="B505" t="s">
        <v>567</v>
      </c>
      <c r="C505" s="9"/>
      <c r="D505" s="9"/>
      <c r="E505" s="9">
        <v>385500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>
        <f t="shared" si="12"/>
        <v>385500</v>
      </c>
    </row>
    <row r="506" spans="1:28">
      <c r="B506" t="s">
        <v>567</v>
      </c>
      <c r="C506" s="9"/>
      <c r="D506" s="9"/>
      <c r="E506" s="9">
        <v>206251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>
        <f t="shared" si="12"/>
        <v>206251</v>
      </c>
    </row>
    <row r="507" spans="1:28">
      <c r="B507" t="s">
        <v>467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>
        <v>40000</v>
      </c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>
        <f t="shared" si="12"/>
        <v>40000</v>
      </c>
    </row>
    <row r="508" spans="1:28">
      <c r="B508" t="s">
        <v>467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>
        <v>200000</v>
      </c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>
        <f t="shared" si="12"/>
        <v>200000</v>
      </c>
    </row>
    <row r="509" spans="1:28">
      <c r="B509" t="s">
        <v>567</v>
      </c>
      <c r="C509" s="9"/>
      <c r="D509" s="9"/>
      <c r="E509" s="9">
        <v>145000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>
        <f t="shared" si="12"/>
        <v>145000</v>
      </c>
    </row>
    <row r="510" spans="1:28">
      <c r="B510" t="s">
        <v>494</v>
      </c>
      <c r="C510" s="9"/>
      <c r="D510" s="9">
        <v>3000000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>
        <f t="shared" si="12"/>
        <v>3000000</v>
      </c>
    </row>
    <row r="511" spans="1:28">
      <c r="B511" t="s">
        <v>568</v>
      </c>
      <c r="C511" s="9"/>
      <c r="D511" s="9"/>
      <c r="E511" s="9"/>
      <c r="F511" s="9">
        <v>6500</v>
      </c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>
        <f t="shared" si="12"/>
        <v>6500</v>
      </c>
    </row>
    <row r="512" spans="1:28">
      <c r="B512" t="s">
        <v>60</v>
      </c>
      <c r="C512" s="9"/>
      <c r="D512" s="9"/>
      <c r="E512" s="9"/>
      <c r="F512" s="9">
        <v>75</v>
      </c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>
        <f t="shared" si="12"/>
        <v>75</v>
      </c>
    </row>
    <row r="513" spans="1:28">
      <c r="B513" t="s">
        <v>494</v>
      </c>
      <c r="C513" s="9"/>
      <c r="D513" s="9">
        <v>1500000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>
        <f t="shared" si="12"/>
        <v>1500000</v>
      </c>
    </row>
    <row r="514" spans="1:28">
      <c r="B514" t="s">
        <v>569</v>
      </c>
      <c r="C514" s="9"/>
      <c r="D514" s="9"/>
      <c r="E514" s="9">
        <v>8490000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>
        <f t="shared" si="12"/>
        <v>8490000</v>
      </c>
    </row>
    <row r="515" spans="1:28">
      <c r="B515" t="s">
        <v>60</v>
      </c>
      <c r="C515" s="9"/>
      <c r="D515" s="9"/>
      <c r="E515" s="9"/>
      <c r="F515" s="9">
        <v>525</v>
      </c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>
        <f t="shared" si="12"/>
        <v>525</v>
      </c>
    </row>
    <row r="516" spans="1:28">
      <c r="B516" t="s">
        <v>489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>
        <v>75000</v>
      </c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>
        <f t="shared" si="12"/>
        <v>75000</v>
      </c>
    </row>
    <row r="517" spans="1:28">
      <c r="B517" t="s">
        <v>567</v>
      </c>
      <c r="C517" s="9"/>
      <c r="D517" s="9"/>
      <c r="E517" s="9">
        <v>143000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>
        <f t="shared" si="12"/>
        <v>143000</v>
      </c>
    </row>
    <row r="518" spans="1:28">
      <c r="B518" t="s">
        <v>570</v>
      </c>
      <c r="C518" s="9"/>
      <c r="D518" s="9"/>
      <c r="E518" s="9">
        <v>8400000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>
        <f t="shared" si="12"/>
        <v>8400000</v>
      </c>
    </row>
    <row r="519" spans="1:28">
      <c r="B519" t="s">
        <v>60</v>
      </c>
      <c r="C519" s="9"/>
      <c r="D519" s="9"/>
      <c r="E519" s="9"/>
      <c r="F519" s="9">
        <v>525</v>
      </c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>
        <f t="shared" si="12"/>
        <v>525</v>
      </c>
    </row>
    <row r="520" spans="1:28">
      <c r="B520" t="s">
        <v>60</v>
      </c>
      <c r="C520" s="9"/>
      <c r="D520" s="9"/>
      <c r="E520" s="9"/>
      <c r="F520" s="9">
        <v>45535.79</v>
      </c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>
        <f t="shared" si="12"/>
        <v>45535.79</v>
      </c>
    </row>
    <row r="521" spans="1:28">
      <c r="B521" t="s">
        <v>60</v>
      </c>
      <c r="C521" s="9"/>
      <c r="D521" s="9"/>
      <c r="E521" s="9"/>
      <c r="F521" s="9">
        <v>2276.79</v>
      </c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>
        <f t="shared" si="12"/>
        <v>2276.79</v>
      </c>
    </row>
    <row r="522" spans="1:28">
      <c r="A522" t="s">
        <v>398</v>
      </c>
      <c r="B522" t="s">
        <v>571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>
        <v>77600.039999999994</v>
      </c>
      <c r="S522" s="9"/>
      <c r="T522" s="9"/>
      <c r="U522" s="9"/>
      <c r="V522" s="9"/>
      <c r="W522" s="9"/>
      <c r="X522" s="9"/>
      <c r="Y522" s="9"/>
      <c r="Z522" s="9"/>
      <c r="AA522" s="9"/>
      <c r="AB522" s="9">
        <f t="shared" si="12"/>
        <v>77600.039999999994</v>
      </c>
    </row>
    <row r="523" spans="1:28">
      <c r="B523" t="s">
        <v>567</v>
      </c>
      <c r="C523" s="9"/>
      <c r="D523" s="9"/>
      <c r="E523" s="9">
        <v>213900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>
        <f t="shared" si="12"/>
        <v>213900</v>
      </c>
    </row>
    <row r="524" spans="1:28">
      <c r="B524" t="s">
        <v>567</v>
      </c>
      <c r="C524" s="9"/>
      <c r="D524" s="9"/>
      <c r="E524" s="9">
        <v>202024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>
        <f t="shared" si="12"/>
        <v>202024</v>
      </c>
    </row>
    <row r="525" spans="1:28">
      <c r="B525" t="s">
        <v>467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>
        <v>200000</v>
      </c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>
        <f t="shared" si="12"/>
        <v>200000</v>
      </c>
    </row>
    <row r="526" spans="1:28">
      <c r="B526" t="s">
        <v>467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>
        <v>40000</v>
      </c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>
        <f t="shared" si="12"/>
        <v>40000</v>
      </c>
    </row>
    <row r="527" spans="1:28">
      <c r="B527" t="s">
        <v>567</v>
      </c>
      <c r="C527" s="9"/>
      <c r="D527" s="9"/>
      <c r="E527" s="9">
        <v>155096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>
        <f t="shared" si="12"/>
        <v>155096</v>
      </c>
    </row>
    <row r="528" spans="1:28">
      <c r="B528" t="s">
        <v>484</v>
      </c>
      <c r="C528" s="9"/>
      <c r="D528" s="9"/>
      <c r="E528" s="9"/>
      <c r="F528" s="9"/>
      <c r="G528" s="9"/>
      <c r="H528" s="9">
        <v>1573000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>
        <f t="shared" si="12"/>
        <v>1573000</v>
      </c>
    </row>
    <row r="529" spans="1:28">
      <c r="B529" t="s">
        <v>567</v>
      </c>
      <c r="C529" s="9"/>
      <c r="D529" s="9"/>
      <c r="E529" s="9">
        <v>1354167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>
        <f t="shared" si="12"/>
        <v>1354167</v>
      </c>
    </row>
    <row r="530" spans="1:28">
      <c r="B530" t="s">
        <v>458</v>
      </c>
      <c r="C530" s="9"/>
      <c r="D530" s="9"/>
      <c r="E530" s="9"/>
      <c r="F530" s="9"/>
      <c r="G530" s="9"/>
      <c r="H530" s="9"/>
      <c r="I530" s="9"/>
      <c r="J530" s="9"/>
      <c r="K530" s="9"/>
      <c r="L530" s="9">
        <v>13500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>
        <f t="shared" si="12"/>
        <v>13500</v>
      </c>
    </row>
    <row r="531" spans="1:28">
      <c r="B531" t="s">
        <v>467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>
        <v>96572</v>
      </c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>
        <f t="shared" si="12"/>
        <v>96572</v>
      </c>
    </row>
    <row r="532" spans="1:28">
      <c r="B532" t="s">
        <v>467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>
        <v>92690.7</v>
      </c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>
        <f t="shared" si="12"/>
        <v>92690.7</v>
      </c>
    </row>
    <row r="533" spans="1:28">
      <c r="B533" t="s">
        <v>484</v>
      </c>
      <c r="C533" s="9"/>
      <c r="D533" s="9"/>
      <c r="E533" s="9"/>
      <c r="F533" s="9"/>
      <c r="G533" s="9"/>
      <c r="H533" s="9">
        <v>1573000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>
        <f t="shared" si="12"/>
        <v>1573000</v>
      </c>
    </row>
    <row r="534" spans="1:28">
      <c r="B534" t="s">
        <v>567</v>
      </c>
      <c r="C534" s="9"/>
      <c r="D534" s="9"/>
      <c r="E534" s="9">
        <v>59500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>
        <f t="shared" si="12"/>
        <v>59500</v>
      </c>
    </row>
    <row r="535" spans="1:28">
      <c r="B535" t="s">
        <v>494</v>
      </c>
      <c r="C535" s="9"/>
      <c r="D535" s="9">
        <v>2000000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>
        <f t="shared" si="12"/>
        <v>2000000</v>
      </c>
    </row>
    <row r="536" spans="1:28">
      <c r="B536" t="s">
        <v>489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>
        <v>75000</v>
      </c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>
        <f t="shared" si="12"/>
        <v>75000</v>
      </c>
    </row>
    <row r="537" spans="1:28">
      <c r="B537" t="s">
        <v>484</v>
      </c>
      <c r="C537" s="9"/>
      <c r="D537" s="9"/>
      <c r="E537" s="9"/>
      <c r="F537" s="9"/>
      <c r="G537" s="9"/>
      <c r="H537" s="9">
        <v>1430000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>
        <f t="shared" si="12"/>
        <v>1430000</v>
      </c>
    </row>
    <row r="538" spans="1:28">
      <c r="B538" t="s">
        <v>60</v>
      </c>
      <c r="C538" s="9"/>
      <c r="D538" s="9"/>
      <c r="E538" s="9"/>
      <c r="F538" s="9">
        <v>300</v>
      </c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>
        <f t="shared" si="12"/>
        <v>300</v>
      </c>
    </row>
    <row r="539" spans="1:28">
      <c r="B539" t="s">
        <v>60</v>
      </c>
      <c r="C539" s="9"/>
      <c r="D539" s="9"/>
      <c r="E539" s="9"/>
      <c r="F539" s="9">
        <v>18312.099999999999</v>
      </c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>
        <f t="shared" si="12"/>
        <v>18312.099999999999</v>
      </c>
    </row>
    <row r="540" spans="1:28">
      <c r="B540" t="s">
        <v>60</v>
      </c>
      <c r="C540" s="9"/>
      <c r="D540" s="9"/>
      <c r="E540" s="9"/>
      <c r="F540" s="9">
        <v>915.61</v>
      </c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>
        <f t="shared" si="12"/>
        <v>915.61</v>
      </c>
    </row>
    <row r="541" spans="1:28">
      <c r="A541" t="s">
        <v>397</v>
      </c>
      <c r="B541" t="s">
        <v>494</v>
      </c>
      <c r="C541" s="9"/>
      <c r="D541" s="9">
        <v>3000000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>
        <f t="shared" si="12"/>
        <v>3000000</v>
      </c>
    </row>
    <row r="542" spans="1:28">
      <c r="B542" t="s">
        <v>494</v>
      </c>
      <c r="C542" s="9"/>
      <c r="D542" s="9">
        <v>3000000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>
        <f t="shared" si="12"/>
        <v>3000000</v>
      </c>
    </row>
    <row r="543" spans="1:28">
      <c r="B543" t="s">
        <v>567</v>
      </c>
      <c r="C543" s="9"/>
      <c r="D543" s="9"/>
      <c r="E543" s="9">
        <v>50000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>
        <f t="shared" si="12"/>
        <v>50000</v>
      </c>
    </row>
    <row r="544" spans="1:28">
      <c r="B544" t="s">
        <v>484</v>
      </c>
      <c r="C544" s="9"/>
      <c r="D544" s="9"/>
      <c r="E544" s="9"/>
      <c r="F544" s="9"/>
      <c r="G544" s="9"/>
      <c r="H544" s="9">
        <v>1494000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>
        <f t="shared" si="12"/>
        <v>1494000</v>
      </c>
    </row>
    <row r="545" spans="1:28">
      <c r="B545" t="s">
        <v>60</v>
      </c>
      <c r="C545" s="9"/>
      <c r="D545" s="9"/>
      <c r="E545" s="9"/>
      <c r="F545" s="9">
        <v>105</v>
      </c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>
        <f t="shared" si="12"/>
        <v>105</v>
      </c>
    </row>
    <row r="546" spans="1:28">
      <c r="B546" t="s">
        <v>494</v>
      </c>
      <c r="C546" s="9"/>
      <c r="D546" s="9">
        <v>3000000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>
        <f t="shared" ref="AB546:AB609" si="13">SUM(C546:AA546)</f>
        <v>3000000</v>
      </c>
    </row>
    <row r="547" spans="1:28">
      <c r="B547" t="s">
        <v>567</v>
      </c>
      <c r="C547" s="9"/>
      <c r="D547" s="9"/>
      <c r="E547" s="9">
        <v>36219.269999999997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>
        <f t="shared" si="13"/>
        <v>36219.269999999997</v>
      </c>
    </row>
    <row r="548" spans="1:28">
      <c r="B548" t="s">
        <v>567</v>
      </c>
      <c r="C548" s="9"/>
      <c r="D548" s="9"/>
      <c r="E548" s="9">
        <v>1660000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>
        <f t="shared" si="13"/>
        <v>1660000</v>
      </c>
    </row>
    <row r="549" spans="1:28">
      <c r="B549" t="s">
        <v>494</v>
      </c>
      <c r="C549" s="9"/>
      <c r="D549" s="9">
        <v>3000000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>
        <f t="shared" si="13"/>
        <v>3000000</v>
      </c>
    </row>
    <row r="550" spans="1:28">
      <c r="B550" t="s">
        <v>490</v>
      </c>
      <c r="C550" s="9"/>
      <c r="D550" s="9"/>
      <c r="E550" s="9">
        <v>1354167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>
        <f t="shared" si="13"/>
        <v>1354167</v>
      </c>
    </row>
    <row r="551" spans="1:28">
      <c r="B551" t="s">
        <v>494</v>
      </c>
      <c r="C551" s="9"/>
      <c r="D551" s="9">
        <v>3000000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>
        <f t="shared" si="13"/>
        <v>3000000</v>
      </c>
    </row>
    <row r="552" spans="1:28">
      <c r="B552" t="s">
        <v>60</v>
      </c>
      <c r="C552" s="9"/>
      <c r="D552" s="9"/>
      <c r="E552" s="9"/>
      <c r="F552" s="9">
        <v>348</v>
      </c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>
        <f t="shared" si="13"/>
        <v>348</v>
      </c>
    </row>
    <row r="553" spans="1:28">
      <c r="B553" t="s">
        <v>60</v>
      </c>
      <c r="C553" s="9"/>
      <c r="D553" s="9"/>
      <c r="E553" s="9"/>
      <c r="F553" s="9">
        <v>39188.980000000003</v>
      </c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>
        <f t="shared" si="13"/>
        <v>39188.980000000003</v>
      </c>
    </row>
    <row r="554" spans="1:28">
      <c r="B554" t="s">
        <v>60</v>
      </c>
      <c r="C554" s="9"/>
      <c r="D554" s="9"/>
      <c r="E554" s="9"/>
      <c r="F554" s="9">
        <v>1959.45</v>
      </c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>
        <f t="shared" si="13"/>
        <v>1959.45</v>
      </c>
    </row>
    <row r="555" spans="1:28">
      <c r="A555" t="s">
        <v>396</v>
      </c>
      <c r="B555" t="s">
        <v>494</v>
      </c>
      <c r="C555" s="9"/>
      <c r="D555" s="9">
        <v>3000000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>
        <f t="shared" si="13"/>
        <v>3000000</v>
      </c>
    </row>
    <row r="556" spans="1:28">
      <c r="B556" t="s">
        <v>484</v>
      </c>
      <c r="C556" s="9"/>
      <c r="D556" s="9"/>
      <c r="E556" s="9"/>
      <c r="F556" s="9"/>
      <c r="G556" s="9"/>
      <c r="H556" s="9">
        <v>1501200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>
        <f t="shared" si="13"/>
        <v>1501200</v>
      </c>
    </row>
    <row r="557" spans="1:28">
      <c r="B557" t="s">
        <v>60</v>
      </c>
      <c r="C557" s="9"/>
      <c r="D557" s="9"/>
      <c r="E557" s="9"/>
      <c r="F557" s="9">
        <v>105</v>
      </c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>
        <f t="shared" si="13"/>
        <v>105</v>
      </c>
    </row>
    <row r="558" spans="1:28">
      <c r="B558" t="s">
        <v>572</v>
      </c>
      <c r="C558" s="9"/>
      <c r="D558" s="9"/>
      <c r="E558" s="9">
        <v>6000000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>
        <f t="shared" si="13"/>
        <v>6000000</v>
      </c>
    </row>
    <row r="559" spans="1:28">
      <c r="B559" t="s">
        <v>60</v>
      </c>
      <c r="C559" s="9"/>
      <c r="D559" s="9"/>
      <c r="E559" s="9"/>
      <c r="F559" s="9">
        <v>105</v>
      </c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>
        <f t="shared" si="13"/>
        <v>105</v>
      </c>
    </row>
    <row r="560" spans="1:28">
      <c r="B560" t="s">
        <v>490</v>
      </c>
      <c r="C560" s="9"/>
      <c r="D560" s="9"/>
      <c r="E560" s="9">
        <v>1354167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>
        <f t="shared" si="13"/>
        <v>1354167</v>
      </c>
    </row>
    <row r="561" spans="1:28">
      <c r="B561" t="s">
        <v>494</v>
      </c>
      <c r="C561" s="9"/>
      <c r="D561" s="9">
        <v>3000000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>
        <f t="shared" si="13"/>
        <v>3000000</v>
      </c>
    </row>
    <row r="562" spans="1:28">
      <c r="B562" t="s">
        <v>60</v>
      </c>
      <c r="C562" s="9"/>
      <c r="D562" s="9"/>
      <c r="E562" s="9"/>
      <c r="F562" s="9">
        <v>172</v>
      </c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>
        <f t="shared" si="13"/>
        <v>172</v>
      </c>
    </row>
    <row r="563" spans="1:28">
      <c r="B563" t="s">
        <v>484</v>
      </c>
      <c r="C563" s="9"/>
      <c r="D563" s="9"/>
      <c r="E563" s="9"/>
      <c r="F563" s="9"/>
      <c r="G563" s="9"/>
      <c r="H563" s="9">
        <v>1430000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>
        <f t="shared" si="13"/>
        <v>1430000</v>
      </c>
    </row>
    <row r="564" spans="1:28">
      <c r="B564" t="s">
        <v>60</v>
      </c>
      <c r="C564" s="9"/>
      <c r="D564" s="9"/>
      <c r="E564" s="9"/>
      <c r="F564" s="9">
        <v>32571.15</v>
      </c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>
        <f t="shared" si="13"/>
        <v>32571.15</v>
      </c>
    </row>
    <row r="565" spans="1:28">
      <c r="B565" t="s">
        <v>60</v>
      </c>
      <c r="C565" s="9"/>
      <c r="D565" s="9"/>
      <c r="E565" s="9"/>
      <c r="F565" s="9">
        <v>1628.56</v>
      </c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>
        <f t="shared" si="13"/>
        <v>1628.56</v>
      </c>
    </row>
    <row r="566" spans="1:28">
      <c r="A566" t="s">
        <v>395</v>
      </c>
      <c r="B566" t="s">
        <v>467</v>
      </c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>
        <v>200000</v>
      </c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>
        <f t="shared" si="13"/>
        <v>200000</v>
      </c>
    </row>
    <row r="567" spans="1:28">
      <c r="B567" t="s">
        <v>467</v>
      </c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>
        <v>40000</v>
      </c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>
        <f t="shared" si="13"/>
        <v>40000</v>
      </c>
    </row>
    <row r="568" spans="1:28">
      <c r="B568" t="s">
        <v>467</v>
      </c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>
        <v>95963.45</v>
      </c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>
        <f t="shared" si="13"/>
        <v>95963.45</v>
      </c>
    </row>
    <row r="569" spans="1:28">
      <c r="B569" t="s">
        <v>489</v>
      </c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>
        <v>75000</v>
      </c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>
        <f t="shared" si="13"/>
        <v>75000</v>
      </c>
    </row>
    <row r="570" spans="1:28">
      <c r="B570" t="s">
        <v>567</v>
      </c>
      <c r="C570" s="9"/>
      <c r="D570" s="9"/>
      <c r="E570" s="9">
        <v>600000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>
        <f t="shared" si="13"/>
        <v>600000</v>
      </c>
    </row>
    <row r="571" spans="1:28">
      <c r="B571" t="s">
        <v>567</v>
      </c>
      <c r="C571" s="9"/>
      <c r="D571" s="9"/>
      <c r="E571" s="9">
        <v>80000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>
        <f t="shared" si="13"/>
        <v>80000</v>
      </c>
    </row>
    <row r="572" spans="1:28">
      <c r="B572" t="s">
        <v>567</v>
      </c>
      <c r="C572" s="9"/>
      <c r="D572" s="9"/>
      <c r="E572" s="9">
        <v>453600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>
        <f t="shared" si="13"/>
        <v>453600</v>
      </c>
    </row>
    <row r="573" spans="1:28">
      <c r="B573" t="s">
        <v>567</v>
      </c>
      <c r="C573" s="9"/>
      <c r="D573" s="9"/>
      <c r="E573" s="9">
        <v>270000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>
        <f t="shared" si="13"/>
        <v>270000</v>
      </c>
    </row>
    <row r="574" spans="1:28">
      <c r="B574" t="s">
        <v>567</v>
      </c>
      <c r="C574" s="9"/>
      <c r="D574" s="9"/>
      <c r="E574" s="9">
        <v>441500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>
        <f t="shared" si="13"/>
        <v>441500</v>
      </c>
    </row>
    <row r="575" spans="1:28">
      <c r="B575" t="s">
        <v>60</v>
      </c>
      <c r="C575" s="9"/>
      <c r="D575" s="9"/>
      <c r="E575" s="9"/>
      <c r="F575" s="9">
        <v>224</v>
      </c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>
        <f t="shared" si="13"/>
        <v>224</v>
      </c>
    </row>
    <row r="576" spans="1:28">
      <c r="B576" t="s">
        <v>60</v>
      </c>
      <c r="C576" s="9"/>
      <c r="D576" s="9"/>
      <c r="E576" s="9"/>
      <c r="F576" s="9">
        <v>4512.13</v>
      </c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>
        <f t="shared" si="13"/>
        <v>4512.13</v>
      </c>
    </row>
    <row r="577" spans="1:28">
      <c r="B577" t="s">
        <v>60</v>
      </c>
      <c r="C577" s="9"/>
      <c r="D577" s="9"/>
      <c r="E577" s="9"/>
      <c r="F577" s="9">
        <v>225.61</v>
      </c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>
        <f t="shared" si="13"/>
        <v>225.61</v>
      </c>
    </row>
    <row r="578" spans="1:28">
      <c r="A578" t="s">
        <v>394</v>
      </c>
      <c r="B578" t="s">
        <v>467</v>
      </c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>
        <v>200000</v>
      </c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>
        <f t="shared" si="13"/>
        <v>200000</v>
      </c>
    </row>
    <row r="579" spans="1:28">
      <c r="B579" t="s">
        <v>467</v>
      </c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>
        <v>40000</v>
      </c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>
        <f t="shared" si="13"/>
        <v>40000</v>
      </c>
    </row>
    <row r="580" spans="1:28">
      <c r="B580" t="s">
        <v>489</v>
      </c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>
        <v>75000</v>
      </c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>
        <f t="shared" si="13"/>
        <v>75000</v>
      </c>
    </row>
    <row r="581" spans="1:28">
      <c r="B581" t="s">
        <v>567</v>
      </c>
      <c r="C581" s="9"/>
      <c r="D581" s="9"/>
      <c r="E581" s="9">
        <v>155096</v>
      </c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>
        <f t="shared" si="13"/>
        <v>155096</v>
      </c>
    </row>
    <row r="582" spans="1:28">
      <c r="B582" t="s">
        <v>567</v>
      </c>
      <c r="C582" s="9"/>
      <c r="D582" s="9"/>
      <c r="E582" s="9">
        <v>112800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>
        <f t="shared" si="13"/>
        <v>112800</v>
      </c>
    </row>
    <row r="583" spans="1:28">
      <c r="B583" t="s">
        <v>567</v>
      </c>
      <c r="C583" s="9"/>
      <c r="D583" s="9"/>
      <c r="E583" s="9">
        <v>260843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>
        <f t="shared" si="13"/>
        <v>260843</v>
      </c>
    </row>
    <row r="584" spans="1:28">
      <c r="B584" t="s">
        <v>567</v>
      </c>
      <c r="C584" s="9"/>
      <c r="D584" s="9"/>
      <c r="E584" s="9">
        <v>205021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>
        <f t="shared" si="13"/>
        <v>205021</v>
      </c>
    </row>
    <row r="585" spans="1:28">
      <c r="B585" t="s">
        <v>567</v>
      </c>
      <c r="C585" s="9"/>
      <c r="D585" s="9"/>
      <c r="E585" s="9">
        <v>11357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>
        <f t="shared" si="13"/>
        <v>11357</v>
      </c>
    </row>
    <row r="586" spans="1:28">
      <c r="B586" t="s">
        <v>458</v>
      </c>
      <c r="C586" s="9"/>
      <c r="D586" s="9"/>
      <c r="E586" s="9"/>
      <c r="F586" s="9"/>
      <c r="G586" s="9"/>
      <c r="H586" s="9"/>
      <c r="I586" s="9"/>
      <c r="J586" s="9"/>
      <c r="K586" s="9"/>
      <c r="L586" s="9">
        <v>13500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>
        <f t="shared" si="13"/>
        <v>13500</v>
      </c>
    </row>
    <row r="587" spans="1:28">
      <c r="A587" t="s">
        <v>393</v>
      </c>
      <c r="B587" t="s">
        <v>60</v>
      </c>
      <c r="C587" s="9"/>
      <c r="D587" s="9"/>
      <c r="E587" s="9"/>
      <c r="F587" s="9">
        <v>2100</v>
      </c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>
        <f t="shared" si="13"/>
        <v>2100</v>
      </c>
    </row>
    <row r="588" spans="1:28">
      <c r="B588" t="s">
        <v>567</v>
      </c>
      <c r="C588" s="9"/>
      <c r="D588" s="9"/>
      <c r="E588" s="9">
        <v>150400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>
        <f t="shared" si="13"/>
        <v>150400</v>
      </c>
    </row>
    <row r="589" spans="1:28">
      <c r="B589" t="s">
        <v>567</v>
      </c>
      <c r="C589" s="9"/>
      <c r="D589" s="9"/>
      <c r="E589" s="9">
        <v>172462.5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>
        <f t="shared" si="13"/>
        <v>172462.5</v>
      </c>
    </row>
    <row r="590" spans="1:28">
      <c r="B590" t="s">
        <v>567</v>
      </c>
      <c r="C590" s="9"/>
      <c r="D590" s="9"/>
      <c r="E590" s="9">
        <v>182603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>
        <f t="shared" si="13"/>
        <v>182603</v>
      </c>
    </row>
    <row r="591" spans="1:28">
      <c r="B591" t="s">
        <v>573</v>
      </c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>
        <v>35700</v>
      </c>
      <c r="V591" s="9"/>
      <c r="W591" s="9"/>
      <c r="X591" s="9"/>
      <c r="Y591" s="9"/>
      <c r="Z591" s="9"/>
      <c r="AA591" s="9"/>
      <c r="AB591" s="9">
        <f t="shared" si="13"/>
        <v>35700</v>
      </c>
    </row>
    <row r="592" spans="1:28">
      <c r="B592" t="s">
        <v>567</v>
      </c>
      <c r="C592" s="9"/>
      <c r="D592" s="9"/>
      <c r="E592" s="9">
        <v>201682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>
        <f t="shared" si="13"/>
        <v>201682</v>
      </c>
    </row>
    <row r="593" spans="1:28">
      <c r="B593" t="s">
        <v>574</v>
      </c>
      <c r="C593" s="9"/>
      <c r="D593" s="9"/>
      <c r="E593" s="9">
        <v>105628.32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>
        <f t="shared" si="13"/>
        <v>105628.32</v>
      </c>
    </row>
    <row r="594" spans="1:28">
      <c r="B594" t="s">
        <v>567</v>
      </c>
      <c r="C594" s="9"/>
      <c r="D594" s="9"/>
      <c r="E594" s="9">
        <v>75550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>
        <f t="shared" si="13"/>
        <v>75550</v>
      </c>
    </row>
    <row r="595" spans="1:28">
      <c r="B595" t="s">
        <v>567</v>
      </c>
      <c r="C595" s="9"/>
      <c r="D595" s="9"/>
      <c r="E595" s="9">
        <v>461000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>
        <f t="shared" si="13"/>
        <v>461000</v>
      </c>
    </row>
    <row r="596" spans="1:28">
      <c r="B596" t="s">
        <v>60</v>
      </c>
      <c r="C596" s="9"/>
      <c r="D596" s="9"/>
      <c r="E596" s="9"/>
      <c r="F596" s="9">
        <v>224</v>
      </c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>
        <f t="shared" si="13"/>
        <v>224</v>
      </c>
    </row>
    <row r="597" spans="1:28">
      <c r="B597" t="s">
        <v>60</v>
      </c>
      <c r="C597" s="9"/>
      <c r="D597" s="9"/>
      <c r="E597" s="9"/>
      <c r="F597" s="9">
        <v>7823.4</v>
      </c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>
        <f t="shared" si="13"/>
        <v>7823.4</v>
      </c>
    </row>
    <row r="598" spans="1:28">
      <c r="B598" t="s">
        <v>60</v>
      </c>
      <c r="C598" s="9"/>
      <c r="D598" s="9"/>
      <c r="E598" s="9"/>
      <c r="F598" s="9">
        <v>391.17</v>
      </c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>
        <f t="shared" si="13"/>
        <v>391.17</v>
      </c>
    </row>
    <row r="599" spans="1:28">
      <c r="A599" t="s">
        <v>392</v>
      </c>
      <c r="B599" t="s">
        <v>567</v>
      </c>
      <c r="C599" s="9"/>
      <c r="D599" s="9"/>
      <c r="E599" s="9">
        <v>45000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>
        <f t="shared" si="13"/>
        <v>45000</v>
      </c>
    </row>
    <row r="600" spans="1:28">
      <c r="B600" t="s">
        <v>567</v>
      </c>
      <c r="C600" s="9"/>
      <c r="D600" s="9"/>
      <c r="E600" s="9">
        <v>145000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>
        <f t="shared" si="13"/>
        <v>145000</v>
      </c>
    </row>
    <row r="601" spans="1:28">
      <c r="B601" t="s">
        <v>567</v>
      </c>
      <c r="C601" s="9"/>
      <c r="D601" s="9"/>
      <c r="E601" s="9">
        <v>715785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>
        <f t="shared" si="13"/>
        <v>715785</v>
      </c>
    </row>
    <row r="602" spans="1:28">
      <c r="B602" t="s">
        <v>567</v>
      </c>
      <c r="C602" s="9"/>
      <c r="D602" s="9"/>
      <c r="E602" s="9">
        <v>763631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>
        <f t="shared" si="13"/>
        <v>763631</v>
      </c>
    </row>
    <row r="603" spans="1:28">
      <c r="B603" t="s">
        <v>567</v>
      </c>
      <c r="C603" s="9"/>
      <c r="D603" s="9"/>
      <c r="E603" s="9">
        <v>60000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>
        <f t="shared" si="13"/>
        <v>60000</v>
      </c>
    </row>
    <row r="604" spans="1:28">
      <c r="B604" t="s">
        <v>567</v>
      </c>
      <c r="C604" s="9"/>
      <c r="D604" s="9"/>
      <c r="E604" s="9">
        <v>120000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>
        <f t="shared" si="13"/>
        <v>120000</v>
      </c>
    </row>
    <row r="605" spans="1:28">
      <c r="B605" t="s">
        <v>567</v>
      </c>
      <c r="C605" s="9"/>
      <c r="D605" s="9"/>
      <c r="E605" s="9">
        <v>182843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>
        <f t="shared" si="13"/>
        <v>182843</v>
      </c>
    </row>
    <row r="606" spans="1:28">
      <c r="B606" t="s">
        <v>567</v>
      </c>
      <c r="C606" s="9"/>
      <c r="D606" s="9"/>
      <c r="E606" s="9">
        <v>180000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>
        <f t="shared" si="13"/>
        <v>180000</v>
      </c>
    </row>
    <row r="607" spans="1:28">
      <c r="B607" t="s">
        <v>484</v>
      </c>
      <c r="C607" s="9"/>
      <c r="D607" s="9"/>
      <c r="E607" s="9"/>
      <c r="F607" s="9"/>
      <c r="G607" s="9"/>
      <c r="H607" s="9">
        <v>1485000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>
        <f t="shared" si="13"/>
        <v>1485000</v>
      </c>
    </row>
    <row r="608" spans="1:28">
      <c r="B608" t="s">
        <v>60</v>
      </c>
      <c r="C608" s="9"/>
      <c r="D608" s="9"/>
      <c r="E608" s="9"/>
      <c r="F608" s="9">
        <v>7394.52</v>
      </c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>
        <f t="shared" si="13"/>
        <v>7394.52</v>
      </c>
    </row>
    <row r="609" spans="1:28">
      <c r="B609" t="s">
        <v>60</v>
      </c>
      <c r="C609" s="9"/>
      <c r="D609" s="9"/>
      <c r="E609" s="9"/>
      <c r="F609" s="9">
        <v>369.73</v>
      </c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>
        <f t="shared" si="13"/>
        <v>369.73</v>
      </c>
    </row>
    <row r="610" spans="1:28">
      <c r="A610" t="s">
        <v>391</v>
      </c>
      <c r="B610" t="s">
        <v>567</v>
      </c>
      <c r="C610" s="9"/>
      <c r="D610" s="9"/>
      <c r="E610" s="9">
        <v>63000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>
        <f t="shared" ref="AB610:AB628" si="14">SUM(C610:AA610)</f>
        <v>63000</v>
      </c>
    </row>
    <row r="611" spans="1:28">
      <c r="B611" t="s">
        <v>567</v>
      </c>
      <c r="C611" s="9"/>
      <c r="D611" s="9"/>
      <c r="E611" s="9">
        <v>124500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>
        <f t="shared" si="14"/>
        <v>124500</v>
      </c>
    </row>
    <row r="612" spans="1:28">
      <c r="B612" t="s">
        <v>567</v>
      </c>
      <c r="C612" s="9"/>
      <c r="D612" s="9"/>
      <c r="E612" s="9">
        <v>42000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>
        <f t="shared" si="14"/>
        <v>42000</v>
      </c>
    </row>
    <row r="613" spans="1:28">
      <c r="B613" t="s">
        <v>458</v>
      </c>
      <c r="C613" s="9"/>
      <c r="D613" s="9"/>
      <c r="E613" s="9"/>
      <c r="F613" s="9"/>
      <c r="G613" s="9"/>
      <c r="H613" s="9"/>
      <c r="I613" s="9"/>
      <c r="J613" s="9"/>
      <c r="K613" s="9"/>
      <c r="L613" s="9">
        <v>13500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>
        <f t="shared" si="14"/>
        <v>13500</v>
      </c>
    </row>
    <row r="614" spans="1:28">
      <c r="B614" t="s">
        <v>490</v>
      </c>
      <c r="C614" s="9"/>
      <c r="D614" s="9"/>
      <c r="E614" s="9">
        <v>1354167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>
        <f t="shared" si="14"/>
        <v>1354167</v>
      </c>
    </row>
    <row r="615" spans="1:28">
      <c r="B615" t="s">
        <v>567</v>
      </c>
      <c r="C615" s="9"/>
      <c r="D615" s="9"/>
      <c r="E615" s="9">
        <v>178600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>
        <f t="shared" si="14"/>
        <v>178600</v>
      </c>
    </row>
    <row r="616" spans="1:28">
      <c r="B616" t="s">
        <v>567</v>
      </c>
      <c r="C616" s="9"/>
      <c r="D616" s="9"/>
      <c r="E616" s="9">
        <v>40000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>
        <f t="shared" si="14"/>
        <v>40000</v>
      </c>
    </row>
    <row r="617" spans="1:28">
      <c r="B617" t="s">
        <v>567</v>
      </c>
      <c r="C617" s="9"/>
      <c r="D617" s="9"/>
      <c r="E617" s="9">
        <v>248481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>
        <f t="shared" si="14"/>
        <v>248481</v>
      </c>
    </row>
    <row r="618" spans="1:28">
      <c r="B618" t="s">
        <v>575</v>
      </c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>
        <v>50085</v>
      </c>
      <c r="V618" s="9"/>
      <c r="W618" s="9"/>
      <c r="X618" s="9"/>
      <c r="Y618" s="9"/>
      <c r="Z618" s="9"/>
      <c r="AA618" s="9"/>
      <c r="AB618" s="9">
        <f t="shared" si="14"/>
        <v>50085</v>
      </c>
    </row>
    <row r="619" spans="1:28">
      <c r="B619" t="s">
        <v>60</v>
      </c>
      <c r="C619" s="9"/>
      <c r="D619" s="9"/>
      <c r="E619" s="9"/>
      <c r="F619" s="9">
        <v>72</v>
      </c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>
        <f t="shared" si="14"/>
        <v>72</v>
      </c>
    </row>
    <row r="620" spans="1:28">
      <c r="B620" t="s">
        <v>567</v>
      </c>
      <c r="C620" s="9"/>
      <c r="D620" s="9"/>
      <c r="E620" s="9">
        <v>200653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>
        <f t="shared" si="14"/>
        <v>200653</v>
      </c>
    </row>
    <row r="621" spans="1:28">
      <c r="B621" t="s">
        <v>490</v>
      </c>
      <c r="C621" s="9"/>
      <c r="D621" s="9"/>
      <c r="E621" s="9">
        <v>1354167</v>
      </c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>
        <f t="shared" si="14"/>
        <v>1354167</v>
      </c>
    </row>
    <row r="622" spans="1:28">
      <c r="B622" t="s">
        <v>567</v>
      </c>
      <c r="C622" s="9"/>
      <c r="D622" s="9"/>
      <c r="E622" s="9">
        <v>99575.37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>
        <f t="shared" si="14"/>
        <v>99575.37</v>
      </c>
    </row>
    <row r="623" spans="1:28">
      <c r="B623" t="s">
        <v>484</v>
      </c>
      <c r="C623" s="9"/>
      <c r="D623" s="9"/>
      <c r="E623" s="9"/>
      <c r="F623" s="9"/>
      <c r="G623" s="9"/>
      <c r="H623" s="9">
        <v>1580500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>
        <f t="shared" si="14"/>
        <v>1580500</v>
      </c>
    </row>
    <row r="624" spans="1:28">
      <c r="B624" t="s">
        <v>60</v>
      </c>
      <c r="C624" s="9"/>
      <c r="D624" s="9"/>
      <c r="E624" s="9"/>
      <c r="F624" s="9">
        <v>10698.46</v>
      </c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>
        <f t="shared" si="14"/>
        <v>10698.46</v>
      </c>
    </row>
    <row r="625" spans="1:28">
      <c r="B625" t="s">
        <v>60</v>
      </c>
      <c r="C625" s="9"/>
      <c r="D625" s="9"/>
      <c r="E625" s="9"/>
      <c r="F625" s="9">
        <v>534.91999999999996</v>
      </c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>
        <f t="shared" si="14"/>
        <v>534.91999999999996</v>
      </c>
    </row>
    <row r="626" spans="1:28">
      <c r="C626" s="9">
        <f>SUM(C478:C625)</f>
        <v>0</v>
      </c>
      <c r="D626" s="9">
        <f t="shared" ref="D626:L626" si="15">SUM(D478:D625)</f>
        <v>33850000</v>
      </c>
      <c r="E626" s="9">
        <f t="shared" si="15"/>
        <v>57267767.780000001</v>
      </c>
      <c r="F626" s="9">
        <f t="shared" si="15"/>
        <v>254257.88999999998</v>
      </c>
      <c r="G626" s="9">
        <f t="shared" si="15"/>
        <v>0</v>
      </c>
      <c r="H626" s="9">
        <f t="shared" si="15"/>
        <v>16814910</v>
      </c>
      <c r="I626" s="9">
        <f t="shared" si="15"/>
        <v>0</v>
      </c>
      <c r="J626" s="9">
        <f t="shared" si="15"/>
        <v>0</v>
      </c>
      <c r="K626" s="9">
        <f t="shared" si="15"/>
        <v>0</v>
      </c>
      <c r="L626" s="9">
        <f t="shared" si="15"/>
        <v>67500</v>
      </c>
      <c r="M626" s="9">
        <f t="shared" ref="M626" si="16">SUM(M478:M625)</f>
        <v>0</v>
      </c>
      <c r="N626" s="9">
        <f t="shared" ref="N626" si="17">SUM(N478:N625)</f>
        <v>0</v>
      </c>
      <c r="O626" s="9">
        <f t="shared" ref="O626" si="18">SUM(O478:O625)</f>
        <v>1991220</v>
      </c>
      <c r="P626" s="9">
        <f t="shared" ref="P626" si="19">SUM(P478:P625)</f>
        <v>375000</v>
      </c>
      <c r="Q626" s="9">
        <f t="shared" ref="Q626" si="20">SUM(Q478:Q625)</f>
        <v>1588947.3</v>
      </c>
      <c r="R626" s="9">
        <f t="shared" ref="R626" si="21">SUM(R478:R625)</f>
        <v>77600.039999999994</v>
      </c>
      <c r="S626" s="9">
        <f t="shared" ref="S626" si="22">SUM(S478:S625)</f>
        <v>0</v>
      </c>
      <c r="T626" s="9">
        <f t="shared" ref="T626" si="23">SUM(T478:T625)</f>
        <v>0</v>
      </c>
      <c r="U626" s="9">
        <f t="shared" ref="U626" si="24">SUM(U478:U625)</f>
        <v>85785</v>
      </c>
      <c r="V626" s="9">
        <f t="shared" ref="V626" si="25">SUM(V478:V625)</f>
        <v>0</v>
      </c>
      <c r="W626" s="9">
        <f t="shared" ref="W626" si="26">SUM(W478:W625)</f>
        <v>155096</v>
      </c>
      <c r="X626" s="9">
        <f t="shared" ref="X626" si="27">SUM(X478:X625)</f>
        <v>0</v>
      </c>
      <c r="Y626" s="9">
        <f t="shared" ref="Y626" si="28">SUM(Y478:Y625)</f>
        <v>0</v>
      </c>
      <c r="Z626" s="9">
        <f t="shared" ref="Z626" si="29">SUM(Z478:Z625)</f>
        <v>0</v>
      </c>
      <c r="AA626" s="9">
        <f t="shared" ref="AA626" si="30">SUM(AA478:AA625)</f>
        <v>0</v>
      </c>
      <c r="AB626" s="9">
        <f t="shared" si="14"/>
        <v>112528084.01000001</v>
      </c>
    </row>
    <row r="627" spans="1:28">
      <c r="A627" s="180"/>
      <c r="B627" s="180"/>
      <c r="C627" s="181"/>
      <c r="D627" s="181"/>
      <c r="E627" s="181"/>
      <c r="F627" s="181"/>
      <c r="G627" s="181"/>
      <c r="H627" s="181"/>
      <c r="I627" s="181"/>
      <c r="J627" s="181"/>
      <c r="K627" s="181"/>
      <c r="L627" s="181"/>
      <c r="M627" s="181"/>
      <c r="N627" s="181"/>
      <c r="O627" s="181"/>
      <c r="P627" s="181"/>
      <c r="Q627" s="181"/>
      <c r="R627" s="181"/>
      <c r="S627" s="181"/>
      <c r="T627" s="181"/>
      <c r="U627" s="181"/>
      <c r="V627" s="181"/>
      <c r="W627" s="181"/>
      <c r="X627" s="181"/>
      <c r="Y627" s="181"/>
      <c r="Z627" s="181"/>
      <c r="AA627" s="181"/>
      <c r="AB627" s="181">
        <f t="shared" si="14"/>
        <v>0</v>
      </c>
    </row>
    <row r="628" spans="1:28">
      <c r="C628" s="9">
        <f t="shared" ref="C628:L628" si="31">C626+C474+C390+C45</f>
        <v>22515264.859999999</v>
      </c>
      <c r="D628" s="9">
        <f t="shared" si="31"/>
        <v>339980000</v>
      </c>
      <c r="E628" s="9">
        <f t="shared" si="31"/>
        <v>280868402.81</v>
      </c>
      <c r="F628" s="9">
        <f t="shared" si="31"/>
        <v>2189166.12</v>
      </c>
      <c r="G628" s="9">
        <f t="shared" si="31"/>
        <v>27676432.239999998</v>
      </c>
      <c r="H628" s="9">
        <f t="shared" si="31"/>
        <v>84958087</v>
      </c>
      <c r="I628" s="9">
        <f t="shared" si="31"/>
        <v>825775.98</v>
      </c>
      <c r="J628" s="9">
        <f t="shared" si="31"/>
        <v>259642</v>
      </c>
      <c r="K628" s="9">
        <f t="shared" si="31"/>
        <v>2000000</v>
      </c>
      <c r="L628" s="9">
        <f t="shared" si="31"/>
        <v>162000</v>
      </c>
      <c r="M628" s="9">
        <f t="shared" ref="M628:AA628" si="32">M626+M474+M390+M45</f>
        <v>8039033.5</v>
      </c>
      <c r="N628" s="9">
        <f t="shared" si="32"/>
        <v>2995458.25</v>
      </c>
      <c r="O628" s="9">
        <f t="shared" si="32"/>
        <v>14784538</v>
      </c>
      <c r="P628" s="9">
        <f t="shared" si="32"/>
        <v>825000</v>
      </c>
      <c r="Q628" s="9">
        <f t="shared" si="32"/>
        <v>7843523.4199999999</v>
      </c>
      <c r="R628" s="9">
        <f t="shared" si="32"/>
        <v>1400010.04</v>
      </c>
      <c r="S628" s="9">
        <f t="shared" si="32"/>
        <v>155000</v>
      </c>
      <c r="T628" s="9">
        <f t="shared" si="32"/>
        <v>360276.02</v>
      </c>
      <c r="U628" s="9">
        <f t="shared" si="32"/>
        <v>1193685</v>
      </c>
      <c r="V628" s="9">
        <f t="shared" si="32"/>
        <v>17935000</v>
      </c>
      <c r="W628" s="9">
        <f t="shared" si="32"/>
        <v>1587492</v>
      </c>
      <c r="X628" s="9">
        <f t="shared" si="32"/>
        <v>30000</v>
      </c>
      <c r="Y628" s="9">
        <f t="shared" si="32"/>
        <v>204992</v>
      </c>
      <c r="Z628" s="9">
        <f t="shared" si="32"/>
        <v>240000</v>
      </c>
      <c r="AA628" s="9">
        <f t="shared" si="32"/>
        <v>1811685.75</v>
      </c>
      <c r="AB628" s="9">
        <f t="shared" si="14"/>
        <v>820840464.99000001</v>
      </c>
    </row>
    <row r="629" spans="1:28"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1:28">
      <c r="A630" s="130" t="s">
        <v>390</v>
      </c>
      <c r="B630" s="183" t="s">
        <v>577</v>
      </c>
      <c r="C630" s="187"/>
      <c r="D630" s="187"/>
      <c r="E630" s="187"/>
      <c r="F630" s="187"/>
      <c r="G630" s="187"/>
      <c r="H630" s="187"/>
      <c r="I630" s="9"/>
      <c r="J630" s="130" t="s">
        <v>390</v>
      </c>
      <c r="K630" s="183" t="s">
        <v>577</v>
      </c>
      <c r="L630" s="187"/>
      <c r="M630" s="187"/>
      <c r="N630" s="187"/>
      <c r="O630" s="187"/>
      <c r="P630" s="187"/>
      <c r="Q630" s="187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1:28" ht="17.25">
      <c r="A631" s="130"/>
      <c r="B631" s="185" t="s">
        <v>578</v>
      </c>
      <c r="C631" s="184" t="s">
        <v>32</v>
      </c>
      <c r="D631" s="184" t="s">
        <v>429</v>
      </c>
      <c r="E631" s="184" t="s">
        <v>428</v>
      </c>
      <c r="F631" s="184" t="s">
        <v>426</v>
      </c>
      <c r="G631" s="184" t="s">
        <v>427</v>
      </c>
      <c r="H631" s="184" t="s">
        <v>22</v>
      </c>
      <c r="I631" s="9"/>
      <c r="J631" s="130"/>
      <c r="K631" s="185" t="s">
        <v>578</v>
      </c>
      <c r="L631" s="184" t="s">
        <v>32</v>
      </c>
      <c r="M631" s="184" t="s">
        <v>429</v>
      </c>
      <c r="N631" s="184" t="s">
        <v>428</v>
      </c>
      <c r="O631" s="184" t="s">
        <v>426</v>
      </c>
      <c r="P631" s="184" t="s">
        <v>427</v>
      </c>
      <c r="Q631" s="184" t="s">
        <v>22</v>
      </c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1:28">
      <c r="A632" s="130">
        <v>1</v>
      </c>
      <c r="B632" s="130" t="s">
        <v>97</v>
      </c>
      <c r="C632" s="187">
        <v>144475454.38</v>
      </c>
      <c r="D632" s="187">
        <v>454640</v>
      </c>
      <c r="E632" s="187">
        <v>867770</v>
      </c>
      <c r="F632" s="187">
        <v>77600.039999999994</v>
      </c>
      <c r="G632" s="187">
        <v>0</v>
      </c>
      <c r="H632" s="187">
        <f>SUM(C632:G632)</f>
        <v>145875464.41999999</v>
      </c>
      <c r="I632" s="9"/>
      <c r="J632" s="130">
        <v>1</v>
      </c>
      <c r="K632" s="130" t="s">
        <v>97</v>
      </c>
      <c r="L632" s="187">
        <v>0</v>
      </c>
      <c r="M632" s="187">
        <v>454640</v>
      </c>
      <c r="N632" s="187">
        <v>867770</v>
      </c>
      <c r="O632" s="187">
        <v>77600.039999999994</v>
      </c>
      <c r="P632" s="187">
        <v>0</v>
      </c>
      <c r="Q632" s="187">
        <f>SUM(L632:P632)</f>
        <v>1400010.04</v>
      </c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1:28">
      <c r="A633" s="130">
        <f>A632+1</f>
        <v>2</v>
      </c>
      <c r="B633" s="130" t="s">
        <v>63</v>
      </c>
      <c r="C633" s="187">
        <v>0</v>
      </c>
      <c r="D633" s="187">
        <v>0</v>
      </c>
      <c r="E633" s="187">
        <v>20841177.539999999</v>
      </c>
      <c r="F633" s="187">
        <v>0</v>
      </c>
      <c r="G633" s="187">
        <v>6835254.7000000002</v>
      </c>
      <c r="H633" s="187">
        <f t="shared" ref="H633:H662" si="33">SUM(C633:G633)</f>
        <v>27676432.239999998</v>
      </c>
      <c r="I633" s="9"/>
      <c r="J633" s="130">
        <f>J632+1</f>
        <v>2</v>
      </c>
      <c r="K633" s="130" t="s">
        <v>63</v>
      </c>
      <c r="L633" s="187">
        <v>0</v>
      </c>
      <c r="M633" s="187">
        <v>0</v>
      </c>
      <c r="N633" s="187">
        <v>20841177.539999999</v>
      </c>
      <c r="O633" s="187">
        <v>0</v>
      </c>
      <c r="P633" s="187">
        <v>6835254.7000000002</v>
      </c>
      <c r="Q633" s="187">
        <f t="shared" ref="Q633:Q662" si="34">SUM(L633:P633)</f>
        <v>27676432.239999998</v>
      </c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1:28">
      <c r="A634" s="130">
        <f t="shared" ref="A634:A654" si="35">A633+1</f>
        <v>3</v>
      </c>
      <c r="B634" s="130" t="s">
        <v>96</v>
      </c>
      <c r="C634" s="187">
        <v>0</v>
      </c>
      <c r="D634" s="187">
        <v>1512000</v>
      </c>
      <c r="E634" s="187">
        <v>57292477</v>
      </c>
      <c r="F634" s="187">
        <v>16814910</v>
      </c>
      <c r="G634" s="187">
        <v>9338700</v>
      </c>
      <c r="H634" s="187">
        <f t="shared" si="33"/>
        <v>84958087</v>
      </c>
      <c r="I634" s="9"/>
      <c r="J634" s="130">
        <f t="shared" ref="J634:J654" si="36">J633+1</f>
        <v>3</v>
      </c>
      <c r="K634" s="130" t="s">
        <v>96</v>
      </c>
      <c r="L634" s="187">
        <v>0</v>
      </c>
      <c r="M634" s="187">
        <v>1512000</v>
      </c>
      <c r="N634" s="187">
        <v>57292477</v>
      </c>
      <c r="O634" s="187">
        <v>16814910</v>
      </c>
      <c r="P634" s="187">
        <v>9338700</v>
      </c>
      <c r="Q634" s="187">
        <f t="shared" si="34"/>
        <v>84958087</v>
      </c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1:28">
      <c r="A635" s="130">
        <f t="shared" si="35"/>
        <v>4</v>
      </c>
      <c r="B635" s="130" t="s">
        <v>580</v>
      </c>
      <c r="C635" s="187">
        <v>0</v>
      </c>
      <c r="D635" s="187">
        <v>0</v>
      </c>
      <c r="E635" s="187">
        <v>825775.98</v>
      </c>
      <c r="F635" s="187">
        <v>0</v>
      </c>
      <c r="G635" s="187">
        <v>0</v>
      </c>
      <c r="H635" s="187">
        <f t="shared" si="33"/>
        <v>825775.98</v>
      </c>
      <c r="I635" s="9"/>
      <c r="J635" s="130">
        <f t="shared" si="36"/>
        <v>4</v>
      </c>
      <c r="K635" s="130" t="s">
        <v>580</v>
      </c>
      <c r="L635" s="187">
        <v>0</v>
      </c>
      <c r="M635" s="187">
        <v>0</v>
      </c>
      <c r="N635" s="187">
        <v>825775.98</v>
      </c>
      <c r="O635" s="187">
        <v>0</v>
      </c>
      <c r="P635" s="187">
        <v>0</v>
      </c>
      <c r="Q635" s="187">
        <f t="shared" si="34"/>
        <v>825775.98</v>
      </c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1:28">
      <c r="A636" s="130">
        <f t="shared" si="35"/>
        <v>5</v>
      </c>
      <c r="B636" s="130" t="s">
        <v>52</v>
      </c>
      <c r="C636" s="187">
        <v>2929500</v>
      </c>
      <c r="D636" s="187">
        <v>221681.25</v>
      </c>
      <c r="E636" s="187">
        <v>2773777</v>
      </c>
      <c r="F636" s="187">
        <v>0</v>
      </c>
      <c r="G636" s="187">
        <v>0</v>
      </c>
      <c r="H636" s="187">
        <f t="shared" si="33"/>
        <v>5924958.25</v>
      </c>
      <c r="I636" s="9"/>
      <c r="J636" s="130">
        <f t="shared" si="36"/>
        <v>5</v>
      </c>
      <c r="K636" s="130" t="s">
        <v>52</v>
      </c>
      <c r="L636" s="187">
        <v>0</v>
      </c>
      <c r="M636" s="187">
        <v>221681.25</v>
      </c>
      <c r="N636" s="187">
        <v>2773777</v>
      </c>
      <c r="O636" s="187">
        <v>0</v>
      </c>
      <c r="P636" s="187">
        <v>0</v>
      </c>
      <c r="Q636" s="187">
        <f t="shared" si="34"/>
        <v>2995458.25</v>
      </c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1:28">
      <c r="A637" s="130">
        <f t="shared" si="35"/>
        <v>6</v>
      </c>
      <c r="B637" s="130" t="s">
        <v>581</v>
      </c>
      <c r="C637" s="187">
        <v>807450</v>
      </c>
      <c r="D637" s="187">
        <v>75000</v>
      </c>
      <c r="E637" s="187">
        <v>375000</v>
      </c>
      <c r="F637" s="187">
        <v>375000</v>
      </c>
      <c r="G637" s="187">
        <v>0</v>
      </c>
      <c r="H637" s="187">
        <f t="shared" si="33"/>
        <v>1632450</v>
      </c>
      <c r="I637" s="9"/>
      <c r="J637" s="130">
        <f t="shared" si="36"/>
        <v>6</v>
      </c>
      <c r="K637" s="130" t="s">
        <v>581</v>
      </c>
      <c r="L637" s="187">
        <v>0</v>
      </c>
      <c r="M637" s="187">
        <v>75000</v>
      </c>
      <c r="N637" s="187">
        <v>375000</v>
      </c>
      <c r="O637" s="187">
        <v>375000</v>
      </c>
      <c r="P637" s="187">
        <v>0</v>
      </c>
      <c r="Q637" s="187">
        <f t="shared" si="34"/>
        <v>825000</v>
      </c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1:28">
      <c r="A638" s="130">
        <f t="shared" si="35"/>
        <v>7</v>
      </c>
      <c r="B638" s="130" t="s">
        <v>582</v>
      </c>
      <c r="C638" s="187">
        <v>1218600</v>
      </c>
      <c r="D638" s="187">
        <v>0</v>
      </c>
      <c r="E638" s="187">
        <v>0</v>
      </c>
      <c r="F638" s="187">
        <v>0</v>
      </c>
      <c r="G638" s="187">
        <v>0</v>
      </c>
      <c r="H638" s="187">
        <f t="shared" si="33"/>
        <v>1218600</v>
      </c>
      <c r="I638" s="9"/>
      <c r="J638" s="130">
        <f t="shared" si="36"/>
        <v>7</v>
      </c>
      <c r="K638" s="130" t="s">
        <v>582</v>
      </c>
      <c r="L638" s="187">
        <v>0</v>
      </c>
      <c r="M638" s="187">
        <v>0</v>
      </c>
      <c r="N638" s="187">
        <v>0</v>
      </c>
      <c r="O638" s="187">
        <v>0</v>
      </c>
      <c r="P638" s="187">
        <v>0</v>
      </c>
      <c r="Q638" s="187">
        <f t="shared" si="34"/>
        <v>0</v>
      </c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1:28">
      <c r="A639" s="130">
        <f t="shared" si="35"/>
        <v>8</v>
      </c>
      <c r="B639" s="130" t="s">
        <v>583</v>
      </c>
      <c r="C639" s="187">
        <v>1235295</v>
      </c>
      <c r="D639" s="187">
        <v>455400</v>
      </c>
      <c r="E639" s="187">
        <v>12337918</v>
      </c>
      <c r="F639" s="187">
        <v>1991220</v>
      </c>
      <c r="G639" s="187">
        <v>0</v>
      </c>
      <c r="H639" s="187">
        <f t="shared" si="33"/>
        <v>16019833</v>
      </c>
      <c r="I639" s="9"/>
      <c r="J639" s="130">
        <f t="shared" si="36"/>
        <v>8</v>
      </c>
      <c r="K639" s="130" t="s">
        <v>583</v>
      </c>
      <c r="L639" s="187">
        <v>0</v>
      </c>
      <c r="M639" s="187">
        <v>455400</v>
      </c>
      <c r="N639" s="187">
        <v>12337918</v>
      </c>
      <c r="O639" s="187">
        <v>1991220</v>
      </c>
      <c r="P639" s="187">
        <v>0</v>
      </c>
      <c r="Q639" s="187">
        <f t="shared" si="34"/>
        <v>14784538</v>
      </c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1:28">
      <c r="A640" s="130">
        <f t="shared" si="35"/>
        <v>9</v>
      </c>
      <c r="B640" s="130" t="s">
        <v>242</v>
      </c>
      <c r="C640" s="187">
        <v>400000</v>
      </c>
      <c r="D640" s="187">
        <v>0</v>
      </c>
      <c r="E640" s="187">
        <v>0</v>
      </c>
      <c r="F640" s="187">
        <v>0</v>
      </c>
      <c r="G640" s="187">
        <v>0</v>
      </c>
      <c r="H640" s="187">
        <f t="shared" si="33"/>
        <v>400000</v>
      </c>
      <c r="I640" s="9"/>
      <c r="J640" s="130">
        <f t="shared" si="36"/>
        <v>9</v>
      </c>
      <c r="K640" s="130" t="s">
        <v>242</v>
      </c>
      <c r="L640" s="187">
        <v>0</v>
      </c>
      <c r="M640" s="187">
        <v>0</v>
      </c>
      <c r="N640" s="187">
        <v>0</v>
      </c>
      <c r="O640" s="187">
        <v>0</v>
      </c>
      <c r="P640" s="187">
        <v>0</v>
      </c>
      <c r="Q640" s="187">
        <f t="shared" si="34"/>
        <v>0</v>
      </c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1:28">
      <c r="A641" s="130">
        <f t="shared" si="35"/>
        <v>10</v>
      </c>
      <c r="B641" s="130" t="s">
        <v>590</v>
      </c>
      <c r="C641" s="187">
        <v>264870</v>
      </c>
      <c r="D641" s="187">
        <v>0</v>
      </c>
      <c r="E641" s="187">
        <v>204992</v>
      </c>
      <c r="F641" s="187">
        <v>0</v>
      </c>
      <c r="G641" s="187">
        <v>0</v>
      </c>
      <c r="H641" s="187">
        <f t="shared" si="33"/>
        <v>469862</v>
      </c>
      <c r="I641" s="9"/>
      <c r="J641" s="130">
        <f t="shared" si="36"/>
        <v>10</v>
      </c>
      <c r="K641" s="130" t="s">
        <v>590</v>
      </c>
      <c r="L641" s="187">
        <v>0</v>
      </c>
      <c r="M641" s="187">
        <v>0</v>
      </c>
      <c r="N641" s="187">
        <v>204992</v>
      </c>
      <c r="O641" s="187">
        <v>0</v>
      </c>
      <c r="P641" s="187">
        <v>0</v>
      </c>
      <c r="Q641" s="187">
        <f t="shared" si="34"/>
        <v>204992</v>
      </c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1:28">
      <c r="A642" s="130">
        <f t="shared" si="35"/>
        <v>11</v>
      </c>
      <c r="B642" s="130" t="s">
        <v>584</v>
      </c>
      <c r="C642" s="187">
        <v>0</v>
      </c>
      <c r="D642" s="187">
        <v>538056.55000000005</v>
      </c>
      <c r="E642" s="187">
        <v>5716519.5700000003</v>
      </c>
      <c r="F642" s="187">
        <v>1588947.3</v>
      </c>
      <c r="G642" s="187">
        <v>0</v>
      </c>
      <c r="H642" s="187">
        <f t="shared" si="33"/>
        <v>7843523.4199999999</v>
      </c>
      <c r="I642" s="9"/>
      <c r="J642" s="130">
        <f t="shared" si="36"/>
        <v>11</v>
      </c>
      <c r="K642" s="130" t="s">
        <v>584</v>
      </c>
      <c r="L642" s="187">
        <v>0</v>
      </c>
      <c r="M642" s="187">
        <v>538056.55000000005</v>
      </c>
      <c r="N642" s="187">
        <v>5716519.5700000003</v>
      </c>
      <c r="O642" s="187">
        <v>1588947.3</v>
      </c>
      <c r="P642" s="187">
        <v>0</v>
      </c>
      <c r="Q642" s="187">
        <f t="shared" si="34"/>
        <v>7843523.4199999999</v>
      </c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1:28">
      <c r="A643" s="130">
        <f t="shared" si="35"/>
        <v>12</v>
      </c>
      <c r="B643" s="130" t="s">
        <v>64</v>
      </c>
      <c r="C643" s="187">
        <v>368560</v>
      </c>
      <c r="D643" s="187">
        <v>0</v>
      </c>
      <c r="E643" s="187">
        <v>0</v>
      </c>
      <c r="F643" s="187">
        <v>0</v>
      </c>
      <c r="G643" s="187">
        <v>0</v>
      </c>
      <c r="H643" s="187">
        <f t="shared" si="33"/>
        <v>368560</v>
      </c>
      <c r="I643" s="9"/>
      <c r="J643" s="130">
        <f t="shared" si="36"/>
        <v>12</v>
      </c>
      <c r="K643" s="130" t="s">
        <v>64</v>
      </c>
      <c r="L643" s="187">
        <v>0</v>
      </c>
      <c r="M643" s="187">
        <v>0</v>
      </c>
      <c r="N643" s="187">
        <v>0</v>
      </c>
      <c r="O643" s="187">
        <v>0</v>
      </c>
      <c r="P643" s="187">
        <v>0</v>
      </c>
      <c r="Q643" s="187">
        <f t="shared" si="34"/>
        <v>0</v>
      </c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1:28">
      <c r="A644" s="130">
        <f t="shared" si="35"/>
        <v>13</v>
      </c>
      <c r="B644" s="130" t="s">
        <v>99</v>
      </c>
      <c r="C644" s="187">
        <v>0</v>
      </c>
      <c r="D644" s="187">
        <v>231120</v>
      </c>
      <c r="E644" s="187">
        <v>970156</v>
      </c>
      <c r="F644" s="187">
        <v>155096</v>
      </c>
      <c r="G644" s="187">
        <v>231120</v>
      </c>
      <c r="H644" s="187">
        <f t="shared" si="33"/>
        <v>1587492</v>
      </c>
      <c r="I644" s="9"/>
      <c r="J644" s="130">
        <f t="shared" si="36"/>
        <v>13</v>
      </c>
      <c r="K644" s="130" t="s">
        <v>99</v>
      </c>
      <c r="L644" s="187">
        <v>0</v>
      </c>
      <c r="M644" s="187">
        <v>231120</v>
      </c>
      <c r="N644" s="187">
        <v>970156</v>
      </c>
      <c r="O644" s="187">
        <v>155096</v>
      </c>
      <c r="P644" s="187">
        <v>231120</v>
      </c>
      <c r="Q644" s="187">
        <f t="shared" si="34"/>
        <v>1587492</v>
      </c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1:28">
      <c r="A645" s="130">
        <f t="shared" si="35"/>
        <v>14</v>
      </c>
      <c r="B645" s="130" t="s">
        <v>247</v>
      </c>
      <c r="C645" s="187">
        <v>0</v>
      </c>
      <c r="D645" s="187">
        <v>105504.99</v>
      </c>
      <c r="E645" s="187">
        <v>254771.03</v>
      </c>
      <c r="F645" s="187">
        <v>0</v>
      </c>
      <c r="G645" s="187">
        <v>0</v>
      </c>
      <c r="H645" s="187">
        <f t="shared" si="33"/>
        <v>360276.02</v>
      </c>
      <c r="I645" s="9"/>
      <c r="J645" s="130">
        <f t="shared" si="36"/>
        <v>14</v>
      </c>
      <c r="K645" s="130" t="s">
        <v>247</v>
      </c>
      <c r="L645" s="187">
        <v>0</v>
      </c>
      <c r="M645" s="187">
        <v>105504.99</v>
      </c>
      <c r="N645" s="187">
        <v>254771.03</v>
      </c>
      <c r="O645" s="187">
        <v>0</v>
      </c>
      <c r="P645" s="187">
        <v>0</v>
      </c>
      <c r="Q645" s="187">
        <f t="shared" si="34"/>
        <v>360276.02</v>
      </c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1:28">
      <c r="A646" s="130">
        <f t="shared" si="35"/>
        <v>15</v>
      </c>
      <c r="B646" s="130" t="s">
        <v>100</v>
      </c>
      <c r="C646" s="187">
        <v>0</v>
      </c>
      <c r="D646" s="187">
        <v>201871</v>
      </c>
      <c r="E646" s="187">
        <v>2601352</v>
      </c>
      <c r="F646" s="187">
        <v>0</v>
      </c>
      <c r="G646" s="187">
        <v>5235810.5</v>
      </c>
      <c r="H646" s="187">
        <f t="shared" si="33"/>
        <v>8039033.5</v>
      </c>
      <c r="I646" s="9"/>
      <c r="J646" s="130">
        <f t="shared" si="36"/>
        <v>15</v>
      </c>
      <c r="K646" s="130" t="s">
        <v>100</v>
      </c>
      <c r="L646" s="187">
        <v>0</v>
      </c>
      <c r="M646" s="187">
        <v>201871</v>
      </c>
      <c r="N646" s="187">
        <v>2601352</v>
      </c>
      <c r="O646" s="187">
        <v>0</v>
      </c>
      <c r="P646" s="187">
        <v>5235810.5</v>
      </c>
      <c r="Q646" s="187">
        <f t="shared" si="34"/>
        <v>8039033.5</v>
      </c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1:28">
      <c r="A647" s="130">
        <f t="shared" si="35"/>
        <v>16</v>
      </c>
      <c r="B647" s="130" t="s">
        <v>596</v>
      </c>
      <c r="C647" s="187">
        <v>307462.5</v>
      </c>
      <c r="D647" s="187">
        <v>27000</v>
      </c>
      <c r="E647" s="187">
        <v>67500</v>
      </c>
      <c r="F647" s="187">
        <v>67500</v>
      </c>
      <c r="G647" s="187">
        <v>0</v>
      </c>
      <c r="H647" s="187">
        <f t="shared" si="33"/>
        <v>469462.5</v>
      </c>
      <c r="I647" s="9"/>
      <c r="J647" s="130">
        <f t="shared" si="36"/>
        <v>16</v>
      </c>
      <c r="K647" s="130" t="s">
        <v>596</v>
      </c>
      <c r="L647" s="187">
        <v>0</v>
      </c>
      <c r="M647" s="187">
        <v>27000</v>
      </c>
      <c r="N647" s="187">
        <v>67500</v>
      </c>
      <c r="O647" s="187">
        <v>67500</v>
      </c>
      <c r="P647" s="187">
        <v>0</v>
      </c>
      <c r="Q647" s="187">
        <f t="shared" si="34"/>
        <v>162000</v>
      </c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1:28">
      <c r="A648" s="130">
        <f t="shared" si="35"/>
        <v>17</v>
      </c>
      <c r="B648" s="130" t="s">
        <v>102</v>
      </c>
      <c r="C648" s="187">
        <v>6208500</v>
      </c>
      <c r="D648" s="187">
        <v>0</v>
      </c>
      <c r="E648" s="187">
        <v>0</v>
      </c>
      <c r="F648" s="187">
        <v>0</v>
      </c>
      <c r="G648" s="187">
        <v>0</v>
      </c>
      <c r="H648" s="187">
        <f t="shared" si="33"/>
        <v>6208500</v>
      </c>
      <c r="I648" s="9"/>
      <c r="J648" s="130">
        <f t="shared" si="36"/>
        <v>17</v>
      </c>
      <c r="K648" s="130" t="s">
        <v>102</v>
      </c>
      <c r="L648" s="187">
        <v>0</v>
      </c>
      <c r="M648" s="187">
        <v>0</v>
      </c>
      <c r="N648" s="187">
        <v>0</v>
      </c>
      <c r="O648" s="187">
        <v>0</v>
      </c>
      <c r="P648" s="187">
        <v>0</v>
      </c>
      <c r="Q648" s="187">
        <f t="shared" si="34"/>
        <v>0</v>
      </c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1:28">
      <c r="A649" s="130">
        <f t="shared" si="35"/>
        <v>18</v>
      </c>
      <c r="B649" s="130" t="s">
        <v>585</v>
      </c>
      <c r="C649" s="187">
        <v>2843268.05</v>
      </c>
      <c r="D649" s="187">
        <v>0</v>
      </c>
      <c r="E649" s="187">
        <v>0</v>
      </c>
      <c r="F649" s="187">
        <v>0</v>
      </c>
      <c r="G649" s="187">
        <v>0</v>
      </c>
      <c r="H649" s="187">
        <f t="shared" si="33"/>
        <v>2843268.05</v>
      </c>
      <c r="I649" s="9"/>
      <c r="J649" s="130">
        <f t="shared" si="36"/>
        <v>18</v>
      </c>
      <c r="K649" s="130" t="s">
        <v>585</v>
      </c>
      <c r="L649" s="187">
        <v>0</v>
      </c>
      <c r="M649" s="187">
        <v>0</v>
      </c>
      <c r="N649" s="187">
        <v>0</v>
      </c>
      <c r="O649" s="187">
        <v>0</v>
      </c>
      <c r="P649" s="187">
        <v>0</v>
      </c>
      <c r="Q649" s="187">
        <f t="shared" si="34"/>
        <v>0</v>
      </c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1:28">
      <c r="A650" s="130">
        <f t="shared" si="35"/>
        <v>19</v>
      </c>
      <c r="B650" s="130" t="s">
        <v>285</v>
      </c>
      <c r="C650" s="187">
        <v>0</v>
      </c>
      <c r="D650" s="187">
        <v>0</v>
      </c>
      <c r="E650" s="187">
        <v>0</v>
      </c>
      <c r="F650" s="187">
        <v>0</v>
      </c>
      <c r="G650" s="187">
        <v>2000000</v>
      </c>
      <c r="H650" s="187">
        <f t="shared" si="33"/>
        <v>2000000</v>
      </c>
      <c r="I650" s="9"/>
      <c r="J650" s="130">
        <f t="shared" si="36"/>
        <v>19</v>
      </c>
      <c r="K650" s="130" t="s">
        <v>285</v>
      </c>
      <c r="L650" s="187">
        <v>0</v>
      </c>
      <c r="M650" s="187">
        <v>0</v>
      </c>
      <c r="N650" s="187">
        <v>0</v>
      </c>
      <c r="O650" s="187">
        <v>0</v>
      </c>
      <c r="P650" s="187">
        <v>2000000</v>
      </c>
      <c r="Q650" s="187">
        <f t="shared" si="34"/>
        <v>2000000</v>
      </c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1:28">
      <c r="A651" s="130">
        <f t="shared" si="35"/>
        <v>20</v>
      </c>
      <c r="B651" s="130" t="s">
        <v>586</v>
      </c>
      <c r="C651" s="187">
        <v>0</v>
      </c>
      <c r="D651" s="187">
        <v>0</v>
      </c>
      <c r="E651" s="187">
        <v>155000</v>
      </c>
      <c r="F651" s="187">
        <v>0</v>
      </c>
      <c r="G651" s="187">
        <v>0</v>
      </c>
      <c r="H651" s="187">
        <f t="shared" si="33"/>
        <v>155000</v>
      </c>
      <c r="I651" s="9"/>
      <c r="J651" s="130">
        <f t="shared" si="36"/>
        <v>20</v>
      </c>
      <c r="K651" s="130" t="s">
        <v>586</v>
      </c>
      <c r="L651" s="187">
        <v>0</v>
      </c>
      <c r="M651" s="187">
        <v>0</v>
      </c>
      <c r="N651" s="187">
        <v>155000</v>
      </c>
      <c r="O651" s="187">
        <v>0</v>
      </c>
      <c r="P651" s="187">
        <v>0</v>
      </c>
      <c r="Q651" s="187">
        <f t="shared" si="34"/>
        <v>155000</v>
      </c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1:28">
      <c r="A652" s="130">
        <f t="shared" si="35"/>
        <v>21</v>
      </c>
      <c r="B652" s="130" t="s">
        <v>587</v>
      </c>
      <c r="C652" s="187">
        <v>76742000</v>
      </c>
      <c r="D652" s="187">
        <v>0</v>
      </c>
      <c r="E652" s="187">
        <v>0</v>
      </c>
      <c r="F652" s="187">
        <v>0</v>
      </c>
      <c r="G652" s="187">
        <v>0</v>
      </c>
      <c r="H652" s="187">
        <f t="shared" si="33"/>
        <v>76742000</v>
      </c>
      <c r="I652" s="9"/>
      <c r="J652" s="130">
        <f t="shared" si="36"/>
        <v>21</v>
      </c>
      <c r="K652" s="130" t="s">
        <v>587</v>
      </c>
      <c r="L652" s="187">
        <v>0</v>
      </c>
      <c r="M652" s="187">
        <v>0</v>
      </c>
      <c r="N652" s="187">
        <v>0</v>
      </c>
      <c r="O652" s="187">
        <v>0</v>
      </c>
      <c r="P652" s="187">
        <v>0</v>
      </c>
      <c r="Q652" s="187">
        <f t="shared" si="34"/>
        <v>0</v>
      </c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1:28">
      <c r="A653" s="130">
        <f t="shared" si="35"/>
        <v>22</v>
      </c>
      <c r="B653" s="130" t="s">
        <v>499</v>
      </c>
      <c r="C653" s="187">
        <v>0</v>
      </c>
      <c r="D653" s="187">
        <v>0</v>
      </c>
      <c r="E653" s="187">
        <v>259642</v>
      </c>
      <c r="F653" s="187">
        <v>0</v>
      </c>
      <c r="G653" s="187">
        <v>0</v>
      </c>
      <c r="H653" s="187">
        <f t="shared" si="33"/>
        <v>259642</v>
      </c>
      <c r="I653" s="9"/>
      <c r="J653" s="130">
        <f t="shared" si="36"/>
        <v>22</v>
      </c>
      <c r="K653" s="130" t="s">
        <v>499</v>
      </c>
      <c r="L653" s="187">
        <v>0</v>
      </c>
      <c r="M653" s="187">
        <v>0</v>
      </c>
      <c r="N653" s="187">
        <v>259642</v>
      </c>
      <c r="O653" s="187">
        <v>0</v>
      </c>
      <c r="P653" s="187">
        <v>0</v>
      </c>
      <c r="Q653" s="187">
        <f t="shared" si="34"/>
        <v>259642</v>
      </c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1:28">
      <c r="A654" s="130">
        <f t="shared" si="35"/>
        <v>23</v>
      </c>
      <c r="B654" s="130" t="s">
        <v>588</v>
      </c>
      <c r="C654" s="187">
        <v>4263309.13</v>
      </c>
      <c r="D654" s="187">
        <v>79000</v>
      </c>
      <c r="E654" s="187">
        <v>1028900</v>
      </c>
      <c r="F654" s="187">
        <v>85785</v>
      </c>
      <c r="G654" s="187">
        <v>0</v>
      </c>
      <c r="H654" s="187">
        <f t="shared" si="33"/>
        <v>5456994.1299999999</v>
      </c>
      <c r="I654" s="9"/>
      <c r="J654" s="130">
        <f t="shared" si="36"/>
        <v>23</v>
      </c>
      <c r="K654" s="130" t="s">
        <v>588</v>
      </c>
      <c r="L654" s="187">
        <v>0</v>
      </c>
      <c r="M654" s="187">
        <v>79000</v>
      </c>
      <c r="N654" s="187">
        <v>1028900</v>
      </c>
      <c r="O654" s="187">
        <v>85785</v>
      </c>
      <c r="P654" s="187">
        <v>0</v>
      </c>
      <c r="Q654" s="187">
        <f t="shared" si="34"/>
        <v>1193685</v>
      </c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1:28">
      <c r="A655" s="130">
        <f>A654+1</f>
        <v>24</v>
      </c>
      <c r="B655" s="130" t="s">
        <v>589</v>
      </c>
      <c r="C655" s="187">
        <v>2875410</v>
      </c>
      <c r="D655" s="187">
        <v>0</v>
      </c>
      <c r="E655" s="187">
        <v>16285000</v>
      </c>
      <c r="F655" s="187">
        <v>0</v>
      </c>
      <c r="G655" s="187">
        <v>1650000</v>
      </c>
      <c r="H655" s="187">
        <f t="shared" si="33"/>
        <v>20810410</v>
      </c>
      <c r="I655" s="9"/>
      <c r="J655" s="130">
        <f>J654+1</f>
        <v>24</v>
      </c>
      <c r="K655" s="130" t="s">
        <v>589</v>
      </c>
      <c r="L655" s="187">
        <v>0</v>
      </c>
      <c r="M655" s="187">
        <v>0</v>
      </c>
      <c r="N655" s="187">
        <v>16285000</v>
      </c>
      <c r="O655" s="187">
        <v>0</v>
      </c>
      <c r="P655" s="187">
        <v>1650000</v>
      </c>
      <c r="Q655" s="187">
        <f t="shared" si="34"/>
        <v>17935000</v>
      </c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1:28">
      <c r="A656" s="130">
        <f t="shared" ref="A656:A662" si="37">A655+1</f>
        <v>25</v>
      </c>
      <c r="B656" s="130" t="s">
        <v>91</v>
      </c>
      <c r="C656" s="187">
        <v>0</v>
      </c>
      <c r="D656" s="187">
        <v>17837.900000000001</v>
      </c>
      <c r="E656" s="187">
        <v>1441551.33</v>
      </c>
      <c r="F656" s="187">
        <v>254257.89</v>
      </c>
      <c r="G656" s="187">
        <v>475519</v>
      </c>
      <c r="H656" s="187">
        <f t="shared" si="33"/>
        <v>2189166.12</v>
      </c>
      <c r="I656" s="9"/>
      <c r="J656" s="130">
        <f t="shared" ref="J656:J662" si="38">J655+1</f>
        <v>25</v>
      </c>
      <c r="K656" s="130" t="s">
        <v>91</v>
      </c>
      <c r="L656" s="187">
        <v>0</v>
      </c>
      <c r="M656" s="187">
        <v>17837.900000000001</v>
      </c>
      <c r="N656" s="187">
        <v>1441551.33</v>
      </c>
      <c r="O656" s="187">
        <v>254257.89</v>
      </c>
      <c r="P656" s="187">
        <v>475519</v>
      </c>
      <c r="Q656" s="187">
        <f t="shared" si="34"/>
        <v>2189166.12</v>
      </c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1:28">
      <c r="A657" s="130">
        <f t="shared" si="37"/>
        <v>26</v>
      </c>
      <c r="B657" s="188" t="s">
        <v>478</v>
      </c>
      <c r="C657" s="187">
        <v>0</v>
      </c>
      <c r="D657" s="187">
        <v>30000</v>
      </c>
      <c r="E657" s="187">
        <v>0</v>
      </c>
      <c r="F657" s="187">
        <v>0</v>
      </c>
      <c r="G657" s="187">
        <v>0</v>
      </c>
      <c r="H657" s="187">
        <f t="shared" si="33"/>
        <v>30000</v>
      </c>
      <c r="I657" s="9"/>
      <c r="J657" s="130">
        <f t="shared" si="38"/>
        <v>26</v>
      </c>
      <c r="K657" s="188" t="s">
        <v>478</v>
      </c>
      <c r="L657" s="187">
        <v>0</v>
      </c>
      <c r="M657" s="187">
        <v>30000</v>
      </c>
      <c r="N657" s="187">
        <v>0</v>
      </c>
      <c r="O657" s="187">
        <v>0</v>
      </c>
      <c r="P657" s="187">
        <v>0</v>
      </c>
      <c r="Q657" s="187">
        <f t="shared" si="34"/>
        <v>30000</v>
      </c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1:28">
      <c r="A658" s="130">
        <f t="shared" si="37"/>
        <v>27</v>
      </c>
      <c r="B658" s="188" t="s">
        <v>593</v>
      </c>
      <c r="C658" s="187">
        <v>3116100.32</v>
      </c>
      <c r="D658" s="187">
        <v>0</v>
      </c>
      <c r="E658" s="187">
        <v>1811685.75</v>
      </c>
      <c r="F658" s="187">
        <v>0</v>
      </c>
      <c r="G658" s="187">
        <v>0</v>
      </c>
      <c r="H658" s="187">
        <f t="shared" si="33"/>
        <v>4927786.07</v>
      </c>
      <c r="I658" s="9"/>
      <c r="J658" s="130">
        <f t="shared" si="38"/>
        <v>27</v>
      </c>
      <c r="K658" s="188" t="s">
        <v>593</v>
      </c>
      <c r="L658" s="187">
        <v>0</v>
      </c>
      <c r="M658" s="187">
        <v>0</v>
      </c>
      <c r="N658" s="187">
        <v>1811685.75</v>
      </c>
      <c r="O658" s="187">
        <v>0</v>
      </c>
      <c r="P658" s="187">
        <v>0</v>
      </c>
      <c r="Q658" s="187">
        <f t="shared" si="34"/>
        <v>1811685.75</v>
      </c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1:28">
      <c r="A659" s="130">
        <f t="shared" si="37"/>
        <v>28</v>
      </c>
      <c r="B659" s="130" t="s">
        <v>592</v>
      </c>
      <c r="C659" s="187">
        <v>0</v>
      </c>
      <c r="D659" s="187">
        <v>240000</v>
      </c>
      <c r="E659" s="187">
        <v>0</v>
      </c>
      <c r="F659" s="187">
        <v>0</v>
      </c>
      <c r="G659" s="187">
        <v>0</v>
      </c>
      <c r="H659" s="187">
        <f t="shared" si="33"/>
        <v>240000</v>
      </c>
      <c r="I659" s="9"/>
      <c r="J659" s="130">
        <f t="shared" si="38"/>
        <v>28</v>
      </c>
      <c r="K659" s="130" t="s">
        <v>592</v>
      </c>
      <c r="L659" s="187">
        <v>0</v>
      </c>
      <c r="M659" s="187">
        <v>240000</v>
      </c>
      <c r="N659" s="187">
        <v>0</v>
      </c>
      <c r="O659" s="187">
        <v>0</v>
      </c>
      <c r="P659" s="187">
        <v>0</v>
      </c>
      <c r="Q659" s="187">
        <f t="shared" si="34"/>
        <v>240000</v>
      </c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1:28">
      <c r="A660" s="130">
        <f t="shared" si="37"/>
        <v>29</v>
      </c>
      <c r="B660" s="130" t="s">
        <v>248</v>
      </c>
      <c r="C660" s="187">
        <v>0</v>
      </c>
      <c r="D660" s="187">
        <v>0</v>
      </c>
      <c r="E660" s="187">
        <v>211630000</v>
      </c>
      <c r="F660" s="187">
        <v>33850000</v>
      </c>
      <c r="G660" s="187">
        <v>94500000</v>
      </c>
      <c r="H660" s="187">
        <f t="shared" si="33"/>
        <v>339980000</v>
      </c>
      <c r="I660" s="9"/>
      <c r="J660" s="130">
        <f t="shared" si="38"/>
        <v>29</v>
      </c>
      <c r="K660" s="130" t="s">
        <v>248</v>
      </c>
      <c r="L660" s="187">
        <v>0</v>
      </c>
      <c r="M660" s="187">
        <v>0</v>
      </c>
      <c r="N660" s="187">
        <v>211630000</v>
      </c>
      <c r="O660" s="187">
        <v>33850000</v>
      </c>
      <c r="P660" s="187">
        <v>94500000</v>
      </c>
      <c r="Q660" s="187">
        <f t="shared" si="34"/>
        <v>339980000</v>
      </c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1:28">
      <c r="A661" s="130">
        <f t="shared" si="37"/>
        <v>30</v>
      </c>
      <c r="B661" s="188" t="s">
        <v>594</v>
      </c>
      <c r="C661" s="187">
        <v>0</v>
      </c>
      <c r="D661" s="187">
        <v>0</v>
      </c>
      <c r="E661" s="187">
        <v>206296827.53</v>
      </c>
      <c r="F661" s="187">
        <v>57267767.780000001</v>
      </c>
      <c r="G661" s="187">
        <v>17303807.5</v>
      </c>
      <c r="H661" s="187">
        <f t="shared" si="33"/>
        <v>280868402.81</v>
      </c>
      <c r="I661" s="9"/>
      <c r="J661" s="130">
        <f t="shared" si="38"/>
        <v>30</v>
      </c>
      <c r="K661" s="188" t="s">
        <v>594</v>
      </c>
      <c r="L661" s="187">
        <v>0</v>
      </c>
      <c r="M661" s="187">
        <v>0</v>
      </c>
      <c r="N661" s="187">
        <v>206296827.53</v>
      </c>
      <c r="O661" s="187">
        <v>57267767.780000001</v>
      </c>
      <c r="P661" s="187">
        <v>17303807.5</v>
      </c>
      <c r="Q661" s="187">
        <f t="shared" si="34"/>
        <v>280868402.81</v>
      </c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1:28">
      <c r="A662" s="130">
        <f t="shared" si="37"/>
        <v>31</v>
      </c>
      <c r="B662" s="188" t="s">
        <v>595</v>
      </c>
      <c r="C662" s="187">
        <v>0</v>
      </c>
      <c r="D662" s="187">
        <v>1688346.29</v>
      </c>
      <c r="E662" s="187">
        <v>20826918.57</v>
      </c>
      <c r="F662" s="187">
        <v>0</v>
      </c>
      <c r="G662" s="187">
        <v>0</v>
      </c>
      <c r="H662" s="187">
        <f t="shared" si="33"/>
        <v>22515264.859999999</v>
      </c>
      <c r="I662" s="9"/>
      <c r="J662" s="130">
        <f t="shared" si="38"/>
        <v>31</v>
      </c>
      <c r="K662" s="188" t="s">
        <v>595</v>
      </c>
      <c r="L662" s="187">
        <v>0</v>
      </c>
      <c r="M662" s="187">
        <v>1688346.29</v>
      </c>
      <c r="N662" s="187">
        <v>20826918.57</v>
      </c>
      <c r="O662" s="187">
        <v>0</v>
      </c>
      <c r="P662" s="187">
        <v>0</v>
      </c>
      <c r="Q662" s="187">
        <f t="shared" si="34"/>
        <v>22515264.859999999</v>
      </c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1:28">
      <c r="A663" s="130"/>
      <c r="B663" s="130" t="s">
        <v>22</v>
      </c>
      <c r="C663" s="187">
        <f>SUM(C632:C662)</f>
        <v>248055779.38</v>
      </c>
      <c r="D663" s="187">
        <f t="shared" ref="D663:H663" si="39">SUM(D632:D662)</f>
        <v>5877457.9800000004</v>
      </c>
      <c r="E663" s="187">
        <f t="shared" si="39"/>
        <v>564864711.30000007</v>
      </c>
      <c r="F663" s="187">
        <f t="shared" si="39"/>
        <v>112528084.01000001</v>
      </c>
      <c r="G663" s="187">
        <f t="shared" si="39"/>
        <v>137570211.69999999</v>
      </c>
      <c r="H663" s="187">
        <f t="shared" si="39"/>
        <v>1068896244.37</v>
      </c>
      <c r="I663" s="9"/>
      <c r="J663" s="130"/>
      <c r="K663" s="130" t="s">
        <v>22</v>
      </c>
      <c r="L663" s="187">
        <f>SUM(L632:L662)</f>
        <v>0</v>
      </c>
      <c r="M663" s="187">
        <f t="shared" ref="M663:Q663" si="40">SUM(M632:M662)</f>
        <v>5877457.9800000004</v>
      </c>
      <c r="N663" s="187">
        <f t="shared" si="40"/>
        <v>564864711.30000007</v>
      </c>
      <c r="O663" s="187">
        <f t="shared" si="40"/>
        <v>112528084.01000001</v>
      </c>
      <c r="P663" s="187">
        <f t="shared" si="40"/>
        <v>137570211.69999999</v>
      </c>
      <c r="Q663" s="187">
        <f t="shared" si="40"/>
        <v>820840464.99000013</v>
      </c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1:28"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1:28">
      <c r="C665" s="9"/>
      <c r="D665" s="9"/>
      <c r="E665" s="9">
        <f>H660-C663+303383667.67</f>
        <v>395307888.29000002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1:28"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1:28"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1:28"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1:28"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1:28"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1:28"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1:28"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3:28"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3:28"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3:28"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3:28"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3:28"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3:28"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3:28"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3:28"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3:28"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3:28"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3:28"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3:28"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3:28"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3:28"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3:28"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3:28"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3:28"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3:28"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3:28"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3:28"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3:28"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3:28"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3:28"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3:28"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3:28"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3:28"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3:28"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3:28"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3:28"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3:28"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3:28"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3:28"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3:28"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3:28"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3:28"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3:28"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3:28"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3:28"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3:28"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3:28"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3:28"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3:28"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3:28"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3:28"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3:28"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3:28"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3:28"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3:28"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3:28"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3:28"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3:28"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3:28"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3:28"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3:28"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3:28"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3:28"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3:28"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3:28"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3:28"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3:28"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3:28"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3:28"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3:28"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3:28"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3:28"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3:28"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3:28"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3:28"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3:28"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3:28"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3:28"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3:28"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3:28"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3:28"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3:28"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3:28"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3:28"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3:28"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3:28"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3:28"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3:28"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3:28"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3:28"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3:28"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3:28"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3:28"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3:28"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3:28"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3:28"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3:28"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3:28"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3:28"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3:28"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3:28"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3:28"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3:28"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3:28"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3:28"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3:28"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3:28"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3:28"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3:28"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3:28"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3:28"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3:28"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3:28"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3:28"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3:28"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3:28"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3:28"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3:28"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3:28"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3:28"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3:28"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3:28"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3:28"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3:28"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3:28"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3:28"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3:28"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3:28"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3:28"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3:28"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3:28"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3:28"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3:28"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3:28"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3:28"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3:28"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3:28"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3:28"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3:28"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3:28"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3:28"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3:28">
      <c r="AB807" s="9"/>
    </row>
    <row r="808" spans="3:28">
      <c r="AB808" s="9"/>
    </row>
    <row r="809" spans="3:28">
      <c r="AB809" s="9"/>
    </row>
    <row r="810" spans="3:28">
      <c r="AB810" s="9"/>
    </row>
    <row r="811" spans="3:28">
      <c r="AB811" s="9"/>
    </row>
    <row r="812" spans="3:28">
      <c r="AB812" s="9"/>
    </row>
    <row r="813" spans="3:28">
      <c r="AB813" s="9"/>
    </row>
    <row r="814" spans="3:28">
      <c r="AB814" s="9"/>
    </row>
    <row r="815" spans="3:28">
      <c r="AB815" s="9"/>
    </row>
    <row r="816" spans="3:28">
      <c r="AB816" s="9"/>
    </row>
    <row r="817" spans="28:28">
      <c r="AB817" s="9"/>
    </row>
    <row r="818" spans="28:28">
      <c r="AB818" s="9"/>
    </row>
    <row r="819" spans="28:28">
      <c r="AB819" s="9"/>
    </row>
    <row r="820" spans="28:28">
      <c r="AB820" s="9"/>
    </row>
    <row r="821" spans="28:28">
      <c r="AB821" s="9"/>
    </row>
    <row r="822" spans="28:28">
      <c r="AB822" s="9"/>
    </row>
    <row r="823" spans="28:28">
      <c r="AB823" s="9"/>
    </row>
    <row r="824" spans="28:28">
      <c r="AB824" s="9"/>
    </row>
    <row r="825" spans="28:28">
      <c r="AB825" s="9"/>
    </row>
    <row r="826" spans="28:28">
      <c r="AB826" s="9"/>
    </row>
    <row r="827" spans="28:28">
      <c r="AB827" s="9"/>
    </row>
    <row r="828" spans="28:28">
      <c r="AB828" s="9"/>
    </row>
    <row r="829" spans="28:28">
      <c r="AB829" s="9"/>
    </row>
    <row r="830" spans="28:28">
      <c r="AB830" s="9"/>
    </row>
    <row r="831" spans="28:28">
      <c r="AB831" s="9"/>
    </row>
    <row r="832" spans="28:28">
      <c r="AB832" s="9"/>
    </row>
    <row r="833" spans="28:28">
      <c r="AB833" s="9"/>
    </row>
    <row r="834" spans="28:28">
      <c r="AB834" s="9"/>
    </row>
    <row r="835" spans="28:28">
      <c r="AB835" s="9"/>
    </row>
    <row r="836" spans="28:28">
      <c r="AB836" s="9"/>
    </row>
    <row r="837" spans="28:28">
      <c r="AB837" s="9"/>
    </row>
    <row r="838" spans="28:28">
      <c r="AB838" s="9"/>
    </row>
    <row r="839" spans="28:28">
      <c r="AB839" s="9"/>
    </row>
    <row r="840" spans="28:28">
      <c r="AB840" s="9"/>
    </row>
    <row r="841" spans="28:28">
      <c r="AB841" s="9"/>
    </row>
    <row r="842" spans="28:28">
      <c r="AB842" s="9"/>
    </row>
    <row r="843" spans="28:28">
      <c r="AB843" s="9"/>
    </row>
    <row r="844" spans="28:28">
      <c r="AB844" s="9"/>
    </row>
    <row r="845" spans="28:28">
      <c r="AB845" s="9"/>
    </row>
    <row r="846" spans="28:28">
      <c r="AB846" s="9"/>
    </row>
    <row r="847" spans="28:28">
      <c r="AB847" s="9"/>
    </row>
    <row r="848" spans="28:28">
      <c r="AB848" s="9"/>
    </row>
    <row r="849" spans="28:28">
      <c r="AB849" s="9"/>
    </row>
    <row r="850" spans="28:28">
      <c r="AB850" s="9"/>
    </row>
    <row r="851" spans="28:28">
      <c r="AB851" s="9"/>
    </row>
    <row r="852" spans="28:28">
      <c r="AB852" s="9"/>
    </row>
    <row r="853" spans="28:28">
      <c r="AB853" s="9"/>
    </row>
    <row r="854" spans="28:28">
      <c r="AB854" s="9"/>
    </row>
    <row r="855" spans="28:28">
      <c r="AB855" s="9"/>
    </row>
    <row r="856" spans="28:28">
      <c r="AB856" s="9"/>
    </row>
    <row r="857" spans="28:28">
      <c r="AB857" s="9"/>
    </row>
    <row r="858" spans="28:28">
      <c r="AB858" s="9"/>
    </row>
    <row r="859" spans="28:28">
      <c r="AB859" s="9"/>
    </row>
    <row r="860" spans="28:28">
      <c r="AB860" s="9"/>
    </row>
    <row r="861" spans="28:28">
      <c r="AB861" s="9"/>
    </row>
    <row r="862" spans="28:28">
      <c r="AB862" s="9"/>
    </row>
    <row r="863" spans="28:28">
      <c r="AB863" s="9"/>
    </row>
    <row r="864" spans="28:28">
      <c r="AB864" s="9"/>
    </row>
    <row r="865" spans="28:28">
      <c r="AB865" s="9"/>
    </row>
    <row r="866" spans="28:28">
      <c r="AB866" s="9"/>
    </row>
    <row r="867" spans="28:28">
      <c r="AB867" s="9"/>
    </row>
    <row r="868" spans="28:28">
      <c r="AB868" s="9"/>
    </row>
    <row r="869" spans="28:28">
      <c r="AB869" s="9"/>
    </row>
    <row r="870" spans="28:28">
      <c r="AB870" s="9"/>
    </row>
    <row r="871" spans="28:28">
      <c r="AB871" s="9"/>
    </row>
    <row r="872" spans="28:28">
      <c r="AB872" s="9"/>
    </row>
    <row r="873" spans="28:28">
      <c r="AB873" s="9"/>
    </row>
    <row r="874" spans="28:28">
      <c r="AB874" s="9"/>
    </row>
    <row r="875" spans="28:28">
      <c r="AB875" s="9"/>
    </row>
    <row r="876" spans="28:28">
      <c r="AB876" s="9"/>
    </row>
    <row r="877" spans="28:28">
      <c r="AB877" s="9"/>
    </row>
    <row r="878" spans="28:28">
      <c r="AB878" s="9"/>
    </row>
    <row r="879" spans="28:28">
      <c r="AB879" s="9"/>
    </row>
    <row r="880" spans="28:28">
      <c r="AB880" s="9"/>
    </row>
    <row r="881" spans="28:28">
      <c r="AB881" s="9"/>
    </row>
    <row r="882" spans="28:28">
      <c r="AB882" s="9"/>
    </row>
    <row r="883" spans="28:28">
      <c r="AB883" s="9"/>
    </row>
    <row r="884" spans="28:28">
      <c r="AB884" s="9"/>
    </row>
    <row r="885" spans="28:28">
      <c r="AB885" s="9"/>
    </row>
    <row r="886" spans="28:28">
      <c r="AB886" s="9"/>
    </row>
    <row r="887" spans="28:28">
      <c r="AB887" s="9"/>
    </row>
    <row r="888" spans="28:28">
      <c r="AB888" s="9"/>
    </row>
    <row r="889" spans="28:28">
      <c r="AB889" s="9"/>
    </row>
    <row r="890" spans="28:28">
      <c r="AB890" s="9"/>
    </row>
    <row r="891" spans="28:28">
      <c r="AB891" s="9"/>
    </row>
    <row r="892" spans="28:28">
      <c r="AB892" s="9"/>
    </row>
    <row r="893" spans="28:28">
      <c r="AB893" s="9"/>
    </row>
    <row r="894" spans="28:28">
      <c r="AB894" s="9"/>
    </row>
    <row r="895" spans="28:28">
      <c r="AB895" s="9"/>
    </row>
    <row r="896" spans="28:28">
      <c r="AB896" s="9"/>
    </row>
    <row r="897" spans="28:28">
      <c r="AB897" s="9"/>
    </row>
    <row r="898" spans="28:28">
      <c r="AB898" s="9"/>
    </row>
    <row r="899" spans="28:28">
      <c r="AB899" s="9"/>
    </row>
    <row r="900" spans="28:28">
      <c r="AB900" s="9"/>
    </row>
    <row r="901" spans="28:28">
      <c r="AB901" s="9"/>
    </row>
    <row r="902" spans="28:28">
      <c r="AB902" s="9"/>
    </row>
    <row r="903" spans="28:28">
      <c r="AB903" s="9"/>
    </row>
    <row r="904" spans="28:28">
      <c r="AB904" s="9"/>
    </row>
    <row r="905" spans="28:28">
      <c r="AB905" s="9"/>
    </row>
    <row r="906" spans="28:28">
      <c r="AB906" s="9"/>
    </row>
    <row r="907" spans="28:28">
      <c r="AB907" s="9"/>
    </row>
    <row r="908" spans="28:28">
      <c r="AB908" s="9"/>
    </row>
    <row r="909" spans="28:28">
      <c r="AB909" s="9"/>
    </row>
    <row r="910" spans="28:28">
      <c r="AB910" s="9"/>
    </row>
    <row r="911" spans="28:28">
      <c r="AB911" s="9"/>
    </row>
    <row r="912" spans="28:28">
      <c r="AB912" s="9"/>
    </row>
    <row r="913" spans="28:28">
      <c r="AB913" s="9"/>
    </row>
    <row r="914" spans="28:28">
      <c r="AB914" s="9"/>
    </row>
    <row r="915" spans="28:28">
      <c r="AB915" s="9"/>
    </row>
    <row r="916" spans="28:28">
      <c r="AB916" s="9"/>
    </row>
    <row r="917" spans="28:28">
      <c r="AB917" s="9"/>
    </row>
    <row r="918" spans="28:28">
      <c r="AB918" s="9"/>
    </row>
    <row r="919" spans="28:28">
      <c r="AB919" s="9"/>
    </row>
    <row r="920" spans="28:28">
      <c r="AB920" s="9"/>
    </row>
    <row r="921" spans="28:28">
      <c r="AB921" s="9"/>
    </row>
    <row r="922" spans="28:28">
      <c r="AB922" s="9"/>
    </row>
    <row r="923" spans="28:28">
      <c r="AB923" s="9"/>
    </row>
    <row r="924" spans="28:28">
      <c r="AB924" s="9"/>
    </row>
    <row r="925" spans="28:28">
      <c r="AB925" s="9"/>
    </row>
    <row r="926" spans="28:28">
      <c r="AB926" s="9"/>
    </row>
    <row r="927" spans="28:28">
      <c r="AB927" s="9"/>
    </row>
    <row r="928" spans="28:28">
      <c r="AB928" s="9"/>
    </row>
    <row r="929" spans="28:28">
      <c r="AB929" s="9"/>
    </row>
    <row r="930" spans="28:28">
      <c r="AB930" s="9"/>
    </row>
    <row r="931" spans="28:28">
      <c r="AB931" s="9"/>
    </row>
    <row r="932" spans="28:28">
      <c r="AB932" s="9"/>
    </row>
    <row r="933" spans="28:28">
      <c r="AB933" s="9"/>
    </row>
    <row r="934" spans="28:28">
      <c r="AB934" s="9"/>
    </row>
    <row r="935" spans="28:28">
      <c r="AB935" s="9"/>
    </row>
    <row r="936" spans="28:28">
      <c r="AB936" s="9"/>
    </row>
    <row r="937" spans="28:28">
      <c r="AB937" s="9"/>
    </row>
    <row r="938" spans="28:28">
      <c r="AB938" s="9"/>
    </row>
    <row r="939" spans="28:28">
      <c r="AB939" s="9"/>
    </row>
    <row r="940" spans="28:28">
      <c r="AB940" s="9"/>
    </row>
    <row r="941" spans="28:28">
      <c r="AB941" s="9"/>
    </row>
    <row r="942" spans="28:28">
      <c r="AB942" s="9"/>
    </row>
    <row r="943" spans="28:28">
      <c r="AB943" s="9"/>
    </row>
    <row r="944" spans="28:28">
      <c r="AB944" s="9"/>
    </row>
    <row r="945" spans="28:28">
      <c r="AB945" s="9"/>
    </row>
    <row r="946" spans="28:28">
      <c r="AB946" s="9"/>
    </row>
    <row r="947" spans="28:28">
      <c r="AB947" s="9"/>
    </row>
    <row r="948" spans="28:28">
      <c r="AB948" s="9"/>
    </row>
    <row r="949" spans="28:28">
      <c r="AB949" s="9"/>
    </row>
    <row r="950" spans="28:28">
      <c r="AB950" s="9"/>
    </row>
    <row r="951" spans="28:28">
      <c r="AB951" s="9"/>
    </row>
    <row r="952" spans="28:28">
      <c r="AB952" s="9"/>
    </row>
    <row r="953" spans="28:28">
      <c r="AB953" s="9"/>
    </row>
    <row r="954" spans="28:28">
      <c r="AB954" s="9"/>
    </row>
    <row r="955" spans="28:28">
      <c r="AB955" s="9"/>
    </row>
    <row r="956" spans="28:28">
      <c r="AB956" s="9"/>
    </row>
    <row r="957" spans="28:28">
      <c r="AB957" s="9"/>
    </row>
    <row r="958" spans="28:28">
      <c r="AB958" s="9"/>
    </row>
    <row r="959" spans="28:28">
      <c r="AB959" s="9"/>
    </row>
    <row r="960" spans="28:28">
      <c r="AB960" s="9"/>
    </row>
    <row r="961" spans="28:28">
      <c r="AB961" s="9"/>
    </row>
    <row r="962" spans="28:28">
      <c r="AB962" s="9"/>
    </row>
    <row r="963" spans="28:28">
      <c r="AB963" s="9"/>
    </row>
    <row r="964" spans="28:28">
      <c r="AB964" s="9"/>
    </row>
    <row r="965" spans="28:28">
      <c r="AB965" s="9"/>
    </row>
    <row r="966" spans="28:28">
      <c r="AB966" s="9"/>
    </row>
    <row r="967" spans="28:28">
      <c r="AB967" s="9"/>
    </row>
    <row r="968" spans="28:28">
      <c r="AB968" s="9"/>
    </row>
    <row r="969" spans="28:28">
      <c r="AB969" s="9"/>
    </row>
    <row r="970" spans="28:28">
      <c r="AB970" s="9"/>
    </row>
    <row r="971" spans="28:28">
      <c r="AB971" s="9"/>
    </row>
    <row r="972" spans="28:28">
      <c r="AB972" s="9"/>
    </row>
    <row r="973" spans="28:28">
      <c r="AB973" s="9"/>
    </row>
    <row r="974" spans="28:28">
      <c r="AB974" s="9"/>
    </row>
    <row r="975" spans="28:28">
      <c r="AB975" s="9"/>
    </row>
    <row r="976" spans="28:28">
      <c r="AB976" s="9"/>
    </row>
    <row r="977" spans="28:28">
      <c r="AB977" s="9"/>
    </row>
    <row r="978" spans="28:28">
      <c r="AB978" s="9"/>
    </row>
    <row r="979" spans="28:28">
      <c r="AB979" s="9"/>
    </row>
    <row r="980" spans="28:28">
      <c r="AB980" s="9"/>
    </row>
    <row r="981" spans="28:28">
      <c r="AB981" s="9"/>
    </row>
    <row r="982" spans="28:28">
      <c r="AB982" s="9"/>
    </row>
    <row r="983" spans="28:28">
      <c r="AB983" s="9"/>
    </row>
    <row r="984" spans="28:28">
      <c r="AB984" s="9"/>
    </row>
    <row r="985" spans="28:28">
      <c r="AB985" s="9"/>
    </row>
    <row r="986" spans="28:28">
      <c r="AB986" s="9"/>
    </row>
    <row r="987" spans="28:28">
      <c r="AB987" s="9"/>
    </row>
    <row r="988" spans="28:28">
      <c r="AB988" s="9"/>
    </row>
    <row r="989" spans="28:28">
      <c r="AB989" s="9"/>
    </row>
    <row r="990" spans="28:28">
      <c r="AB990" s="9"/>
    </row>
    <row r="991" spans="28:28">
      <c r="AB991" s="9"/>
    </row>
    <row r="992" spans="28:28">
      <c r="AB992" s="9"/>
    </row>
    <row r="993" spans="28:28">
      <c r="AB993" s="9"/>
    </row>
    <row r="994" spans="28:28">
      <c r="AB994" s="9"/>
    </row>
    <row r="995" spans="28:28">
      <c r="AB995" s="9"/>
    </row>
    <row r="996" spans="28:28">
      <c r="AB996" s="9"/>
    </row>
    <row r="997" spans="28:28">
      <c r="AB997" s="9"/>
    </row>
    <row r="998" spans="28:28">
      <c r="AB998" s="9"/>
    </row>
    <row r="999" spans="28:28">
      <c r="AB999" s="9"/>
    </row>
    <row r="1000" spans="28:28">
      <c r="AB1000" s="9"/>
    </row>
    <row r="1001" spans="28:28">
      <c r="AB1001" s="9"/>
    </row>
    <row r="1002" spans="28:28">
      <c r="AB1002" s="9"/>
    </row>
    <row r="1003" spans="28:28">
      <c r="AB1003" s="9"/>
    </row>
    <row r="1004" spans="28:28">
      <c r="AB1004" s="9"/>
    </row>
    <row r="1005" spans="28:28">
      <c r="AB1005" s="9"/>
    </row>
    <row r="1006" spans="28:28">
      <c r="AB1006" s="9"/>
    </row>
    <row r="1007" spans="28:28">
      <c r="AB1007" s="9"/>
    </row>
    <row r="1008" spans="28:28">
      <c r="AB1008" s="9"/>
    </row>
    <row r="1009" spans="28:28">
      <c r="AB1009" s="9"/>
    </row>
    <row r="1010" spans="28:28">
      <c r="AB1010" s="9"/>
    </row>
    <row r="1011" spans="28:28">
      <c r="AB1011" s="9"/>
    </row>
    <row r="1012" spans="28:28">
      <c r="AB1012" s="9"/>
    </row>
    <row r="1013" spans="28:28">
      <c r="AB1013" s="9"/>
    </row>
    <row r="1014" spans="28:28">
      <c r="AB1014" s="9"/>
    </row>
    <row r="1015" spans="28:28">
      <c r="AB1015" s="9"/>
    </row>
    <row r="1016" spans="28:28">
      <c r="AB1016" s="9"/>
    </row>
    <row r="1017" spans="28:28">
      <c r="AB1017" s="9"/>
    </row>
    <row r="1018" spans="28:28">
      <c r="AB1018" s="9"/>
    </row>
    <row r="1019" spans="28:28">
      <c r="AB1019" s="9"/>
    </row>
    <row r="1020" spans="28:28">
      <c r="AB1020" s="9"/>
    </row>
    <row r="1021" spans="28:28">
      <c r="AB1021" s="9"/>
    </row>
    <row r="1022" spans="28:28">
      <c r="AB1022" s="9"/>
    </row>
    <row r="1023" spans="28:28">
      <c r="AB1023" s="9"/>
    </row>
    <row r="1024" spans="28:28">
      <c r="AB1024" s="9"/>
    </row>
    <row r="1025" spans="28:28">
      <c r="AB1025" s="9"/>
    </row>
    <row r="1026" spans="28:28">
      <c r="AB1026" s="9"/>
    </row>
    <row r="1027" spans="28:28">
      <c r="AB1027" s="9"/>
    </row>
    <row r="1028" spans="28:28">
      <c r="AB1028" s="9"/>
    </row>
    <row r="1029" spans="28:28">
      <c r="AB1029" s="9"/>
    </row>
    <row r="1030" spans="28:28">
      <c r="AB1030" s="9"/>
    </row>
    <row r="1031" spans="28:28">
      <c r="AB1031" s="9"/>
    </row>
    <row r="1032" spans="28:28">
      <c r="AB1032" s="9"/>
    </row>
    <row r="1033" spans="28:28">
      <c r="AB1033" s="9"/>
    </row>
    <row r="1034" spans="28:28">
      <c r="AB1034" s="9"/>
    </row>
    <row r="1035" spans="28:28">
      <c r="AB1035" s="9"/>
    </row>
    <row r="1036" spans="28:28">
      <c r="AB1036" s="9"/>
    </row>
    <row r="1037" spans="28:28">
      <c r="AB1037" s="9"/>
    </row>
    <row r="1038" spans="28:28">
      <c r="AB1038" s="9"/>
    </row>
    <row r="1039" spans="28:28">
      <c r="AB1039" s="9"/>
    </row>
    <row r="1040" spans="28:28">
      <c r="AB1040" s="9"/>
    </row>
    <row r="1041" spans="28:28">
      <c r="AB1041" s="9"/>
    </row>
    <row r="1042" spans="28:28">
      <c r="AB1042" s="9"/>
    </row>
    <row r="1043" spans="28:28">
      <c r="AB1043" s="9"/>
    </row>
    <row r="1044" spans="28:28">
      <c r="AB1044" s="9"/>
    </row>
    <row r="1045" spans="28:28">
      <c r="AB1045" s="9"/>
    </row>
    <row r="1046" spans="28:28">
      <c r="AB1046" s="9"/>
    </row>
    <row r="1047" spans="28:28">
      <c r="AB1047" s="9"/>
    </row>
    <row r="1048" spans="28:28">
      <c r="AB1048" s="9"/>
    </row>
    <row r="1049" spans="28:28">
      <c r="AB1049" s="9"/>
    </row>
    <row r="1050" spans="28:28">
      <c r="AB1050" s="9"/>
    </row>
    <row r="1051" spans="28:28">
      <c r="AB1051" s="9"/>
    </row>
    <row r="1052" spans="28:28">
      <c r="AB1052" s="9"/>
    </row>
    <row r="1053" spans="28:28">
      <c r="AB1053" s="9"/>
    </row>
    <row r="1054" spans="28:28">
      <c r="AB1054" s="9"/>
    </row>
    <row r="1055" spans="28:28">
      <c r="AB1055" s="9"/>
    </row>
    <row r="1056" spans="28:28">
      <c r="AB1056" s="9"/>
    </row>
    <row r="1057" spans="28:28">
      <c r="AB1057" s="9"/>
    </row>
    <row r="1058" spans="28:28">
      <c r="AB1058" s="9"/>
    </row>
    <row r="1059" spans="28:28">
      <c r="AB1059" s="9"/>
    </row>
    <row r="1060" spans="28:28">
      <c r="AB1060" s="9"/>
    </row>
    <row r="1061" spans="28:28">
      <c r="AB1061" s="9"/>
    </row>
    <row r="1062" spans="28:28">
      <c r="AB1062" s="9"/>
    </row>
    <row r="1063" spans="28:28">
      <c r="AB1063" s="9"/>
    </row>
    <row r="1064" spans="28:28">
      <c r="AB1064" s="9"/>
    </row>
    <row r="1065" spans="28:28">
      <c r="AB1065" s="9"/>
    </row>
    <row r="1066" spans="28:28">
      <c r="AB1066" s="9"/>
    </row>
    <row r="1067" spans="28:28">
      <c r="AB1067" s="9"/>
    </row>
    <row r="1068" spans="28:28">
      <c r="AB1068" s="9"/>
    </row>
    <row r="1069" spans="28:28">
      <c r="AB1069" s="9"/>
    </row>
    <row r="1070" spans="28:28">
      <c r="AB1070" s="9"/>
    </row>
    <row r="1071" spans="28:28">
      <c r="AB1071" s="9"/>
    </row>
    <row r="1072" spans="28:28">
      <c r="AB1072" s="9"/>
    </row>
    <row r="1073" spans="28:28">
      <c r="AB1073" s="9"/>
    </row>
    <row r="1074" spans="28:28">
      <c r="AB1074" s="9"/>
    </row>
    <row r="1075" spans="28:28">
      <c r="AB1075" s="9"/>
    </row>
    <row r="1076" spans="28:28">
      <c r="AB1076" s="9"/>
    </row>
    <row r="1077" spans="28:28">
      <c r="AB1077" s="9"/>
    </row>
    <row r="1078" spans="28:28">
      <c r="AB1078" s="9"/>
    </row>
    <row r="1079" spans="28:28">
      <c r="AB1079" s="9"/>
    </row>
    <row r="1080" spans="28:28">
      <c r="AB1080" s="9"/>
    </row>
    <row r="1081" spans="28:28">
      <c r="AB1081" s="9"/>
    </row>
    <row r="1082" spans="28:28">
      <c r="AB1082" s="9"/>
    </row>
    <row r="1083" spans="28:28">
      <c r="AB1083" s="9"/>
    </row>
    <row r="1084" spans="28:28">
      <c r="AB1084" s="9"/>
    </row>
    <row r="1085" spans="28:28">
      <c r="AB1085" s="9"/>
    </row>
    <row r="1086" spans="28:28">
      <c r="AB1086" s="9"/>
    </row>
  </sheetData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zoomScale="120" zoomScaleNormal="120" workbookViewId="0">
      <selection activeCell="D12" sqref="D12"/>
    </sheetView>
  </sheetViews>
  <sheetFormatPr defaultRowHeight="15"/>
  <cols>
    <col min="4" max="4" width="16.140625" customWidth="1"/>
    <col min="5" max="5" width="15.28515625" customWidth="1"/>
    <col min="6" max="6" width="15.5703125" customWidth="1"/>
    <col min="9" max="10" width="16" bestFit="1" customWidth="1"/>
    <col min="11" max="11" width="16.5703125" customWidth="1"/>
    <col min="12" max="12" width="16" bestFit="1" customWidth="1"/>
    <col min="13" max="13" width="14.85546875" bestFit="1" customWidth="1"/>
    <col min="14" max="14" width="16.42578125" customWidth="1"/>
    <col min="15" max="15" width="16" bestFit="1" customWidth="1"/>
    <col min="16" max="16" width="13.7109375" bestFit="1" customWidth="1"/>
    <col min="17" max="17" width="16.7109375" customWidth="1"/>
    <col min="18" max="18" width="14.85546875" bestFit="1" customWidth="1"/>
  </cols>
  <sheetData>
    <row r="1" spans="2:18" ht="18.75">
      <c r="B1" s="51" t="s">
        <v>29</v>
      </c>
      <c r="C1" s="52"/>
      <c r="D1" s="52"/>
      <c r="E1" s="52"/>
      <c r="I1" t="s">
        <v>34</v>
      </c>
      <c r="L1" t="s">
        <v>36</v>
      </c>
      <c r="O1" t="s">
        <v>40</v>
      </c>
      <c r="R1" t="s">
        <v>35</v>
      </c>
    </row>
    <row r="2" spans="2:18" ht="18.75">
      <c r="B2" s="51" t="s">
        <v>30</v>
      </c>
      <c r="C2" s="52"/>
      <c r="D2" s="52"/>
      <c r="E2" s="52"/>
      <c r="F2" s="52"/>
      <c r="G2" s="52"/>
      <c r="I2" t="s">
        <v>38</v>
      </c>
      <c r="J2" t="s">
        <v>39</v>
      </c>
      <c r="K2" t="s">
        <v>22</v>
      </c>
      <c r="L2" t="s">
        <v>38</v>
      </c>
      <c r="M2" t="s">
        <v>39</v>
      </c>
      <c r="N2" t="s">
        <v>22</v>
      </c>
      <c r="O2" t="s">
        <v>38</v>
      </c>
      <c r="P2" t="s">
        <v>39</v>
      </c>
      <c r="Q2" t="s">
        <v>22</v>
      </c>
      <c r="R2" t="s">
        <v>42</v>
      </c>
    </row>
    <row r="3" spans="2:18">
      <c r="H3">
        <v>1</v>
      </c>
      <c r="I3" s="9">
        <v>10713179</v>
      </c>
      <c r="J3" s="9">
        <v>540245</v>
      </c>
      <c r="K3" s="15">
        <f>I3+J3</f>
        <v>11253424</v>
      </c>
      <c r="L3" s="9">
        <v>29056859</v>
      </c>
      <c r="M3" s="9">
        <v>700775</v>
      </c>
      <c r="N3" s="14">
        <f>L3+M3</f>
        <v>29757634</v>
      </c>
      <c r="O3" s="9">
        <v>12951119</v>
      </c>
      <c r="P3" s="9">
        <v>605400</v>
      </c>
      <c r="Q3" s="14">
        <f>O3+P3</f>
        <v>13556519</v>
      </c>
      <c r="R3" s="9">
        <v>2431312</v>
      </c>
    </row>
    <row r="4" spans="2:18">
      <c r="B4" s="198" t="s">
        <v>31</v>
      </c>
      <c r="C4" s="198"/>
      <c r="D4" s="38" t="s">
        <v>32</v>
      </c>
      <c r="E4" s="10" t="s">
        <v>33</v>
      </c>
      <c r="F4" s="10" t="s">
        <v>22</v>
      </c>
      <c r="H4">
        <f>H3+1</f>
        <v>2</v>
      </c>
      <c r="I4" s="9">
        <v>12186850</v>
      </c>
      <c r="J4" s="9">
        <v>641580</v>
      </c>
      <c r="K4" s="15">
        <f t="shared" ref="K4:K15" si="0">I4+J4</f>
        <v>12828430</v>
      </c>
      <c r="L4" s="9">
        <v>26827109</v>
      </c>
      <c r="M4" s="9">
        <v>1019422</v>
      </c>
      <c r="N4" s="14">
        <f t="shared" ref="N4:N15" si="1">L4+M4</f>
        <v>27846531</v>
      </c>
      <c r="O4" s="9">
        <v>13444200</v>
      </c>
      <c r="P4" s="9">
        <v>536280</v>
      </c>
      <c r="Q4" s="14">
        <f t="shared" ref="Q4:Q15" si="2">O4+P4</f>
        <v>13980480</v>
      </c>
      <c r="R4" s="9">
        <v>2777192</v>
      </c>
    </row>
    <row r="5" spans="2:18">
      <c r="B5" t="s">
        <v>34</v>
      </c>
      <c r="D5" s="9">
        <v>113316545</v>
      </c>
      <c r="E5" s="9">
        <v>12057969</v>
      </c>
      <c r="F5" s="9">
        <f>D5+E5</f>
        <v>125374514</v>
      </c>
      <c r="H5">
        <f t="shared" ref="H5:H14" si="3">H4+1</f>
        <v>3</v>
      </c>
      <c r="I5" s="9">
        <v>11202147</v>
      </c>
      <c r="J5" s="9">
        <v>1722006</v>
      </c>
      <c r="K5" s="15">
        <f t="shared" si="0"/>
        <v>12924153</v>
      </c>
      <c r="L5" s="9">
        <v>28029457</v>
      </c>
      <c r="M5" s="9">
        <v>1007262</v>
      </c>
      <c r="N5" s="14">
        <f t="shared" si="1"/>
        <v>29036719</v>
      </c>
      <c r="O5" s="9">
        <v>11171160</v>
      </c>
      <c r="P5" s="9">
        <v>1138240</v>
      </c>
      <c r="Q5" s="14">
        <f t="shared" si="2"/>
        <v>12309400</v>
      </c>
      <c r="R5" s="9">
        <v>3796292</v>
      </c>
    </row>
    <row r="6" spans="2:18">
      <c r="B6" t="s">
        <v>35</v>
      </c>
      <c r="D6" s="9">
        <v>51107026</v>
      </c>
      <c r="E6" s="9">
        <v>0</v>
      </c>
      <c r="F6" s="9">
        <f>D7+E7</f>
        <v>342635616</v>
      </c>
      <c r="H6">
        <f t="shared" si="3"/>
        <v>4</v>
      </c>
      <c r="I6" s="9">
        <v>10051827</v>
      </c>
      <c r="J6" s="9">
        <v>1424466</v>
      </c>
      <c r="K6" s="15">
        <f t="shared" si="0"/>
        <v>11476293</v>
      </c>
      <c r="L6" s="9">
        <v>26155034</v>
      </c>
      <c r="M6" s="9">
        <v>1175694</v>
      </c>
      <c r="N6" s="14">
        <f t="shared" si="1"/>
        <v>27330728</v>
      </c>
      <c r="O6" s="9">
        <v>13684920</v>
      </c>
      <c r="P6" s="9">
        <v>756360</v>
      </c>
      <c r="Q6" s="14">
        <f t="shared" si="2"/>
        <v>14441280</v>
      </c>
      <c r="R6" s="9">
        <v>1600400</v>
      </c>
    </row>
    <row r="7" spans="2:18">
      <c r="B7" t="s">
        <v>36</v>
      </c>
      <c r="D7" s="9">
        <v>326268116</v>
      </c>
      <c r="E7" s="9">
        <v>16367500</v>
      </c>
      <c r="F7" s="9">
        <f>D7+E7</f>
        <v>342635616</v>
      </c>
      <c r="H7">
        <f t="shared" si="3"/>
        <v>5</v>
      </c>
      <c r="I7" s="9">
        <v>12815981</v>
      </c>
      <c r="J7" s="9">
        <v>1201773</v>
      </c>
      <c r="K7" s="15">
        <f t="shared" si="0"/>
        <v>14017754</v>
      </c>
      <c r="L7" s="9">
        <v>31329035</v>
      </c>
      <c r="M7" s="9">
        <v>1487925</v>
      </c>
      <c r="N7" s="14">
        <f t="shared" si="1"/>
        <v>32816960</v>
      </c>
      <c r="O7" s="9">
        <v>11267640</v>
      </c>
      <c r="P7" s="9">
        <v>1332720</v>
      </c>
      <c r="Q7" s="14">
        <f t="shared" si="2"/>
        <v>12600360</v>
      </c>
      <c r="R7" s="9">
        <v>5021920</v>
      </c>
    </row>
    <row r="8" spans="2:18">
      <c r="B8" t="s">
        <v>41</v>
      </c>
      <c r="D8" s="9">
        <v>129680929</v>
      </c>
      <c r="E8" s="9">
        <v>6942860</v>
      </c>
      <c r="F8" s="9">
        <f t="shared" ref="F8:F9" si="4">D8+E8</f>
        <v>136623789</v>
      </c>
      <c r="H8">
        <f t="shared" si="3"/>
        <v>6</v>
      </c>
      <c r="I8" s="9">
        <v>9800889</v>
      </c>
      <c r="J8" s="9">
        <v>1552724</v>
      </c>
      <c r="K8" s="15">
        <f t="shared" si="0"/>
        <v>11353613</v>
      </c>
      <c r="L8" s="9">
        <v>26720392</v>
      </c>
      <c r="M8" s="9">
        <v>1358221</v>
      </c>
      <c r="N8" s="14">
        <f t="shared" si="1"/>
        <v>28078613</v>
      </c>
      <c r="O8" s="9">
        <v>11855480</v>
      </c>
      <c r="P8" s="9">
        <v>160600</v>
      </c>
      <c r="Q8" s="14">
        <f t="shared" si="2"/>
        <v>12016080</v>
      </c>
      <c r="R8" s="9">
        <v>4534208</v>
      </c>
    </row>
    <row r="9" spans="2:18">
      <c r="B9" t="s">
        <v>37</v>
      </c>
      <c r="D9" s="9">
        <f>SUM(D5:D8)</f>
        <v>620372616</v>
      </c>
      <c r="E9" s="9">
        <f>SUM(E5:E8)</f>
        <v>35368329</v>
      </c>
      <c r="F9" s="9">
        <f t="shared" si="4"/>
        <v>655740945</v>
      </c>
      <c r="H9">
        <f t="shared" si="3"/>
        <v>7</v>
      </c>
      <c r="I9" s="9">
        <v>9444711</v>
      </c>
      <c r="J9" s="9">
        <v>1028819</v>
      </c>
      <c r="K9" s="15">
        <f t="shared" si="0"/>
        <v>10473530</v>
      </c>
      <c r="L9" s="9">
        <v>24919465</v>
      </c>
      <c r="M9" s="9">
        <v>2599133</v>
      </c>
      <c r="N9" s="14">
        <f t="shared" si="1"/>
        <v>27518598</v>
      </c>
      <c r="O9" s="9">
        <v>9417780</v>
      </c>
      <c r="P9" s="9">
        <v>182520</v>
      </c>
      <c r="Q9" s="14">
        <f t="shared" si="2"/>
        <v>9600300</v>
      </c>
      <c r="R9" s="9">
        <v>4070756</v>
      </c>
    </row>
    <row r="10" spans="2:18">
      <c r="H10">
        <f t="shared" si="3"/>
        <v>8</v>
      </c>
      <c r="I10" s="9">
        <v>6842251</v>
      </c>
      <c r="J10" s="9">
        <v>440940</v>
      </c>
      <c r="K10" s="15">
        <f t="shared" si="0"/>
        <v>7283191</v>
      </c>
      <c r="L10" s="9">
        <v>25773971</v>
      </c>
      <c r="M10" s="9">
        <v>1216464</v>
      </c>
      <c r="N10" s="14">
        <f t="shared" si="1"/>
        <v>26990435</v>
      </c>
      <c r="O10" s="9">
        <v>9545900</v>
      </c>
      <c r="P10" s="9">
        <v>76000</v>
      </c>
      <c r="Q10" s="14">
        <f t="shared" si="2"/>
        <v>9621900</v>
      </c>
      <c r="R10" s="9">
        <v>3828576</v>
      </c>
    </row>
    <row r="11" spans="2:18">
      <c r="D11" s="12"/>
      <c r="H11">
        <f t="shared" si="3"/>
        <v>9</v>
      </c>
      <c r="I11" s="9">
        <v>5971737</v>
      </c>
      <c r="J11" s="9">
        <v>1068170</v>
      </c>
      <c r="K11" s="15">
        <f t="shared" si="0"/>
        <v>7039907</v>
      </c>
      <c r="L11" s="9">
        <v>22483533</v>
      </c>
      <c r="M11" s="9">
        <v>1374009</v>
      </c>
      <c r="N11" s="14">
        <f t="shared" si="1"/>
        <v>23857542</v>
      </c>
      <c r="O11" s="9">
        <v>7555380</v>
      </c>
      <c r="P11" s="9">
        <v>25860</v>
      </c>
      <c r="Q11" s="14">
        <f t="shared" si="2"/>
        <v>7581240</v>
      </c>
      <c r="R11" s="9">
        <v>3930888</v>
      </c>
    </row>
    <row r="12" spans="2:18">
      <c r="H12">
        <f t="shared" si="3"/>
        <v>10</v>
      </c>
      <c r="I12" s="9">
        <v>7645226</v>
      </c>
      <c r="J12" s="9">
        <v>813364</v>
      </c>
      <c r="K12" s="15">
        <f t="shared" si="0"/>
        <v>8458590</v>
      </c>
      <c r="L12" s="9">
        <v>25644085</v>
      </c>
      <c r="M12" s="9">
        <v>1683545</v>
      </c>
      <c r="N12" s="14">
        <f t="shared" si="1"/>
        <v>27327630</v>
      </c>
      <c r="O12" s="9">
        <v>7336770</v>
      </c>
      <c r="P12" s="9">
        <v>562080</v>
      </c>
      <c r="Q12" s="14">
        <f t="shared" si="2"/>
        <v>7898850</v>
      </c>
      <c r="R12" s="9">
        <v>5536118</v>
      </c>
    </row>
    <row r="13" spans="2:18">
      <c r="H13">
        <f t="shared" si="3"/>
        <v>11</v>
      </c>
      <c r="I13" s="9">
        <v>7791778</v>
      </c>
      <c r="J13" s="9">
        <v>872434</v>
      </c>
      <c r="K13" s="15">
        <f t="shared" si="0"/>
        <v>8664212</v>
      </c>
      <c r="L13" s="9">
        <v>26489422</v>
      </c>
      <c r="M13" s="9">
        <v>1179667</v>
      </c>
      <c r="N13" s="14">
        <f t="shared" si="1"/>
        <v>27669089</v>
      </c>
      <c r="O13" s="9">
        <v>8507820</v>
      </c>
      <c r="P13" s="9">
        <v>583920</v>
      </c>
      <c r="Q13" s="14">
        <f t="shared" si="2"/>
        <v>9091740</v>
      </c>
      <c r="R13" s="9">
        <v>4172236</v>
      </c>
    </row>
    <row r="14" spans="2:18">
      <c r="H14">
        <f t="shared" si="3"/>
        <v>12</v>
      </c>
      <c r="I14" s="9">
        <v>8849969</v>
      </c>
      <c r="J14" s="9">
        <v>751448</v>
      </c>
      <c r="K14" s="15">
        <f t="shared" si="0"/>
        <v>9601417</v>
      </c>
      <c r="L14" s="9">
        <v>32839754</v>
      </c>
      <c r="M14" s="9">
        <v>1565383</v>
      </c>
      <c r="N14" s="14">
        <f t="shared" si="1"/>
        <v>34405137</v>
      </c>
      <c r="O14" s="9">
        <v>12942760</v>
      </c>
      <c r="P14" s="9">
        <v>982880</v>
      </c>
      <c r="Q14" s="14">
        <f t="shared" si="2"/>
        <v>13925640</v>
      </c>
      <c r="R14" s="9">
        <v>9407128</v>
      </c>
    </row>
    <row r="15" spans="2:18">
      <c r="I15" s="11">
        <f>SUM(I3:I14)</f>
        <v>113316545</v>
      </c>
      <c r="J15" s="11">
        <f>SUM(J3:J14)</f>
        <v>12057969</v>
      </c>
      <c r="K15" s="13">
        <f t="shared" si="0"/>
        <v>125374514</v>
      </c>
      <c r="L15" s="11">
        <f>SUM(L3:L14)</f>
        <v>326268116</v>
      </c>
      <c r="M15" s="11">
        <f>SUM(M3:M14)</f>
        <v>16367500</v>
      </c>
      <c r="N15" s="16">
        <f t="shared" si="1"/>
        <v>342635616</v>
      </c>
      <c r="O15" s="11">
        <f>SUM(O3:O14)</f>
        <v>129680929</v>
      </c>
      <c r="P15" s="11">
        <f>SUM(P3:P14)</f>
        <v>6942860</v>
      </c>
      <c r="Q15" s="16">
        <f t="shared" si="2"/>
        <v>136623789</v>
      </c>
      <c r="R15" s="13">
        <f>SUM(R3:R14)</f>
        <v>51107026</v>
      </c>
    </row>
    <row r="17" spans="9:18">
      <c r="I17" s="17" t="s">
        <v>43</v>
      </c>
      <c r="J17" s="18">
        <f>K15+N15+Q15+R15</f>
        <v>655740945</v>
      </c>
      <c r="L17" s="12"/>
      <c r="O17" s="12"/>
      <c r="R17" s="12"/>
    </row>
    <row r="19" spans="9:18">
      <c r="I19" s="12"/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48"/>
  <sheetViews>
    <sheetView topLeftCell="A26" workbookViewId="0">
      <selection activeCell="I52" sqref="I52"/>
    </sheetView>
  </sheetViews>
  <sheetFormatPr defaultRowHeight="15"/>
  <cols>
    <col min="7" max="7" width="13.7109375" customWidth="1"/>
    <col min="8" max="8" width="4.7109375" customWidth="1"/>
    <col min="9" max="9" width="13.5703125" customWidth="1"/>
    <col min="14" max="14" width="12.5703125" bestFit="1" customWidth="1"/>
  </cols>
  <sheetData>
    <row r="1" spans="2:9" ht="23.25">
      <c r="B1" s="53" t="s">
        <v>23</v>
      </c>
    </row>
    <row r="2" spans="2:9" ht="23.25">
      <c r="B2" s="20" t="s">
        <v>228</v>
      </c>
      <c r="C2" s="21"/>
      <c r="D2" s="21"/>
      <c r="E2" s="21"/>
      <c r="F2" s="21"/>
      <c r="G2" s="21"/>
    </row>
    <row r="3" spans="2:9" ht="23.25">
      <c r="B3" s="20" t="s">
        <v>74</v>
      </c>
      <c r="C3" s="21"/>
      <c r="D3" s="21"/>
      <c r="E3" s="21"/>
      <c r="F3" s="21"/>
      <c r="G3" s="21"/>
    </row>
    <row r="4" spans="2:9">
      <c r="B4" s="22"/>
      <c r="C4" s="21"/>
      <c r="D4" s="21"/>
      <c r="E4" s="21"/>
      <c r="F4" s="21"/>
      <c r="G4" s="21"/>
      <c r="H4" s="48"/>
    </row>
    <row r="5" spans="2:9">
      <c r="B5" s="22"/>
      <c r="C5" s="21"/>
      <c r="D5" s="21"/>
      <c r="E5" s="21"/>
      <c r="F5" s="21"/>
      <c r="G5" s="42">
        <v>2014</v>
      </c>
      <c r="H5" s="48"/>
      <c r="I5" s="38">
        <v>2013</v>
      </c>
    </row>
    <row r="6" spans="2:9">
      <c r="B6" s="22"/>
      <c r="C6" s="21"/>
      <c r="D6" s="21"/>
      <c r="E6" s="21"/>
      <c r="F6" s="21"/>
      <c r="G6" s="23" t="s">
        <v>46</v>
      </c>
      <c r="H6" s="48"/>
      <c r="I6" s="23" t="s">
        <v>46</v>
      </c>
    </row>
    <row r="7" spans="2:9">
      <c r="B7" s="22" t="s">
        <v>47</v>
      </c>
      <c r="C7" s="21"/>
      <c r="D7" s="21"/>
      <c r="E7" s="21"/>
      <c r="F7" s="21"/>
      <c r="G7" s="21">
        <v>655740945</v>
      </c>
      <c r="H7" s="48"/>
      <c r="I7" s="21">
        <v>265471223</v>
      </c>
    </row>
    <row r="8" spans="2:9">
      <c r="B8" s="22" t="s">
        <v>48</v>
      </c>
      <c r="C8" s="21"/>
      <c r="D8" s="21"/>
      <c r="E8" s="21"/>
      <c r="F8" s="21"/>
      <c r="G8" s="24">
        <f>-(144475454.38+80360087)</f>
        <v>-224835541.38</v>
      </c>
      <c r="H8" s="48"/>
      <c r="I8" s="43">
        <v>-209375177</v>
      </c>
    </row>
    <row r="9" spans="2:9">
      <c r="B9" s="22"/>
      <c r="C9" s="21"/>
      <c r="D9" s="21"/>
      <c r="E9" s="21"/>
      <c r="F9" s="21"/>
      <c r="G9" s="21"/>
      <c r="H9" s="48"/>
      <c r="I9" s="44"/>
    </row>
    <row r="10" spans="2:9">
      <c r="B10" s="22" t="s">
        <v>49</v>
      </c>
      <c r="C10" s="21"/>
      <c r="D10" s="21"/>
      <c r="E10" s="21"/>
      <c r="F10" s="21"/>
      <c r="G10" s="25">
        <f>SUM(G7:G9)</f>
        <v>430905403.62</v>
      </c>
      <c r="H10" s="48"/>
      <c r="I10" s="25">
        <f>SUM(I7:I9)</f>
        <v>56096046</v>
      </c>
    </row>
    <row r="11" spans="2:9">
      <c r="B11" s="22"/>
      <c r="C11" s="21"/>
      <c r="D11" s="21"/>
      <c r="E11" s="21"/>
      <c r="F11" s="21"/>
      <c r="G11" s="21"/>
      <c r="H11" s="48"/>
      <c r="I11" s="21"/>
    </row>
    <row r="12" spans="2:9">
      <c r="B12" s="26" t="s">
        <v>50</v>
      </c>
      <c r="C12" s="21"/>
      <c r="D12" s="21"/>
      <c r="E12" s="21"/>
      <c r="F12" s="21"/>
      <c r="G12" s="21"/>
      <c r="H12" s="48"/>
      <c r="I12" s="21"/>
    </row>
    <row r="13" spans="2:9">
      <c r="B13" s="22" t="s">
        <v>185</v>
      </c>
      <c r="C13" s="21"/>
      <c r="D13" s="21"/>
      <c r="E13" s="21"/>
      <c r="F13" s="21"/>
      <c r="G13" s="7">
        <f>5000+600+2900+1200000+5000000</f>
        <v>6208500</v>
      </c>
      <c r="H13" s="48"/>
      <c r="I13" s="45">
        <v>2843268</v>
      </c>
    </row>
    <row r="14" spans="2:9">
      <c r="B14" s="22" t="s">
        <v>51</v>
      </c>
      <c r="C14" s="21"/>
      <c r="D14" s="21"/>
      <c r="E14" s="21"/>
      <c r="F14" s="21"/>
      <c r="G14" s="21">
        <v>70098000</v>
      </c>
      <c r="H14" s="48"/>
      <c r="I14" s="21">
        <v>11266000</v>
      </c>
    </row>
    <row r="15" spans="2:9">
      <c r="B15" s="22" t="s">
        <v>52</v>
      </c>
      <c r="C15" s="21"/>
      <c r="D15" s="21"/>
      <c r="E15" s="21"/>
      <c r="F15" s="21"/>
      <c r="G15" s="21">
        <v>5289682</v>
      </c>
      <c r="H15" s="48"/>
      <c r="I15" s="21">
        <v>7257267</v>
      </c>
    </row>
    <row r="16" spans="2:9">
      <c r="B16" s="22" t="s">
        <v>53</v>
      </c>
      <c r="C16" s="21"/>
      <c r="D16" s="21"/>
      <c r="E16" s="21"/>
      <c r="F16" s="21"/>
      <c r="G16" s="21">
        <v>23075510</v>
      </c>
      <c r="H16" s="48"/>
      <c r="I16" s="45">
        <v>1054460</v>
      </c>
    </row>
    <row r="17" spans="2:9">
      <c r="B17" s="22" t="s">
        <v>54</v>
      </c>
      <c r="C17" s="21"/>
      <c r="D17" s="21"/>
      <c r="E17" s="21"/>
      <c r="F17" s="21"/>
      <c r="G17" s="21">
        <v>4263309.13</v>
      </c>
      <c r="H17" s="48"/>
      <c r="I17" s="45">
        <v>2067438</v>
      </c>
    </row>
    <row r="18" spans="2:9">
      <c r="B18" s="22" t="s">
        <v>55</v>
      </c>
      <c r="C18" s="21"/>
      <c r="D18" s="21"/>
      <c r="E18" s="21"/>
      <c r="F18" s="21"/>
      <c r="G18" s="21">
        <v>264870</v>
      </c>
      <c r="H18" s="48"/>
      <c r="I18" s="45">
        <v>1769886</v>
      </c>
    </row>
    <row r="19" spans="2:9">
      <c r="B19" s="22" t="s">
        <v>56</v>
      </c>
      <c r="C19" s="21"/>
      <c r="D19" s="21"/>
      <c r="E19" s="21"/>
      <c r="F19" s="21"/>
      <c r="G19" s="21">
        <v>1218600</v>
      </c>
      <c r="H19" s="48"/>
      <c r="I19" s="45">
        <v>1042250</v>
      </c>
    </row>
    <row r="20" spans="2:9">
      <c r="B20" s="22" t="s">
        <v>57</v>
      </c>
      <c r="C20" s="21"/>
      <c r="D20" s="21"/>
      <c r="E20" s="21"/>
      <c r="F20" s="21"/>
      <c r="G20" s="41">
        <v>0</v>
      </c>
      <c r="H20" s="48"/>
      <c r="I20" s="49" t="s">
        <v>119</v>
      </c>
    </row>
    <row r="21" spans="2:9">
      <c r="B21" s="22" t="s">
        <v>58</v>
      </c>
      <c r="C21" s="21"/>
      <c r="D21" s="21"/>
      <c r="E21" s="21"/>
      <c r="F21" s="21"/>
      <c r="G21" s="21">
        <f>464057.54+400000</f>
        <v>864057.54</v>
      </c>
      <c r="H21" s="48"/>
      <c r="I21" s="21">
        <v>3290484</v>
      </c>
    </row>
    <row r="22" spans="2:9">
      <c r="B22" s="22" t="s">
        <v>59</v>
      </c>
      <c r="C22" s="21"/>
      <c r="D22" s="21"/>
      <c r="E22" s="21"/>
      <c r="F22" s="21"/>
      <c r="G22" s="21">
        <v>1541070.75</v>
      </c>
      <c r="H22" s="48"/>
      <c r="I22" s="45">
        <v>1332459</v>
      </c>
    </row>
    <row r="23" spans="2:9">
      <c r="B23" s="22" t="s">
        <v>324</v>
      </c>
      <c r="C23" s="21"/>
      <c r="D23" s="21"/>
      <c r="E23" s="21"/>
      <c r="F23" s="21"/>
      <c r="G23" s="21">
        <v>2000000</v>
      </c>
      <c r="H23" s="48"/>
      <c r="I23" s="21">
        <v>1500000</v>
      </c>
    </row>
    <row r="24" spans="2:9">
      <c r="B24" s="22" t="s">
        <v>60</v>
      </c>
      <c r="C24" s="21"/>
      <c r="D24" s="21"/>
      <c r="E24" s="21"/>
      <c r="F24" s="21"/>
      <c r="G24" s="21">
        <v>2832945.76</v>
      </c>
      <c r="H24" s="48"/>
      <c r="I24" s="21">
        <v>5032050</v>
      </c>
    </row>
    <row r="25" spans="2:9">
      <c r="B25" s="22" t="s">
        <v>61</v>
      </c>
      <c r="C25" s="21"/>
      <c r="D25" s="21"/>
      <c r="E25" s="21"/>
      <c r="F25" s="21"/>
      <c r="G25" s="41">
        <v>0</v>
      </c>
      <c r="H25" s="48"/>
      <c r="I25" s="49">
        <v>0</v>
      </c>
    </row>
    <row r="26" spans="2:9">
      <c r="B26" s="22" t="s">
        <v>62</v>
      </c>
      <c r="C26" s="21"/>
      <c r="D26" s="21"/>
      <c r="E26" s="21"/>
      <c r="F26" s="21"/>
      <c r="G26" s="79">
        <v>4351924</v>
      </c>
      <c r="H26" s="48"/>
      <c r="I26" s="21">
        <v>5773513</v>
      </c>
    </row>
    <row r="27" spans="2:9">
      <c r="B27" s="22" t="s">
        <v>63</v>
      </c>
      <c r="C27" s="21"/>
      <c r="D27" s="21"/>
      <c r="E27" s="21"/>
      <c r="F27" s="21"/>
      <c r="G27" s="21">
        <v>18450956</v>
      </c>
      <c r="H27" s="48"/>
      <c r="I27" s="21">
        <v>6985700</v>
      </c>
    </row>
    <row r="28" spans="2:9">
      <c r="B28" s="22" t="s">
        <v>99</v>
      </c>
      <c r="C28" s="21"/>
      <c r="D28" s="21"/>
      <c r="E28" s="21"/>
      <c r="F28" s="21"/>
      <c r="G28" s="79">
        <v>5260660.05</v>
      </c>
      <c r="H28" s="48"/>
      <c r="I28" s="46" t="s">
        <v>119</v>
      </c>
    </row>
    <row r="29" spans="2:9">
      <c r="B29" s="22" t="s">
        <v>64</v>
      </c>
      <c r="C29" s="21"/>
      <c r="D29" s="21"/>
      <c r="E29" s="21"/>
      <c r="F29" s="21"/>
      <c r="G29" s="21">
        <v>368560</v>
      </c>
      <c r="H29" s="48"/>
      <c r="I29" s="50">
        <v>0</v>
      </c>
    </row>
    <row r="30" spans="2:9">
      <c r="B30" s="22" t="s">
        <v>65</v>
      </c>
      <c r="C30" s="21"/>
      <c r="D30" s="21"/>
      <c r="E30" s="21"/>
      <c r="F30" s="21"/>
      <c r="G30" s="21">
        <v>1182450</v>
      </c>
      <c r="H30" s="48"/>
      <c r="I30" s="45">
        <v>1306000</v>
      </c>
    </row>
    <row r="31" spans="2:9">
      <c r="B31" s="22" t="s">
        <v>323</v>
      </c>
      <c r="C31" s="21"/>
      <c r="D31" s="21"/>
      <c r="E31" s="21"/>
      <c r="F31" s="21"/>
      <c r="G31" s="21">
        <v>388462.5</v>
      </c>
      <c r="H31" s="48"/>
      <c r="I31" s="45"/>
    </row>
    <row r="32" spans="2:9">
      <c r="B32" s="22" t="s">
        <v>321</v>
      </c>
      <c r="C32" s="21"/>
      <c r="D32" s="21"/>
      <c r="E32" s="21"/>
      <c r="F32" s="21"/>
      <c r="G32" s="21">
        <v>155000</v>
      </c>
      <c r="H32" s="48"/>
      <c r="I32" s="46" t="s">
        <v>119</v>
      </c>
    </row>
    <row r="33" spans="2:14">
      <c r="B33" s="22" t="s">
        <v>322</v>
      </c>
      <c r="C33" s="21"/>
      <c r="D33" s="21"/>
      <c r="E33" s="21"/>
      <c r="F33" s="21"/>
      <c r="G33" s="25">
        <v>16271133</v>
      </c>
      <c r="H33" s="48"/>
      <c r="I33" s="85"/>
    </row>
    <row r="34" spans="2:14" ht="9" customHeight="1">
      <c r="B34" s="22"/>
      <c r="C34" s="21"/>
      <c r="D34" s="21"/>
      <c r="E34" s="21"/>
      <c r="F34" s="21"/>
      <c r="G34" s="21"/>
      <c r="H34" s="48"/>
      <c r="I34" s="21"/>
    </row>
    <row r="35" spans="2:14">
      <c r="B35" s="22"/>
      <c r="C35" s="21"/>
      <c r="D35" s="21"/>
      <c r="E35" s="21"/>
      <c r="F35" s="21"/>
      <c r="G35" s="27">
        <f>SUM(G13:G34)</f>
        <v>164085690.73000002</v>
      </c>
      <c r="H35" s="48"/>
      <c r="I35" s="27">
        <f>SUM(I13:I34)</f>
        <v>52520775</v>
      </c>
    </row>
    <row r="36" spans="2:14" ht="9" customHeight="1">
      <c r="B36" s="22"/>
      <c r="C36" s="21"/>
      <c r="D36" s="21"/>
      <c r="E36" s="21"/>
      <c r="F36" s="21"/>
      <c r="G36" s="21"/>
      <c r="H36" s="48"/>
      <c r="I36" s="21"/>
    </row>
    <row r="37" spans="2:14">
      <c r="B37" s="22" t="s">
        <v>66</v>
      </c>
      <c r="C37" s="21"/>
      <c r="D37" s="21"/>
      <c r="E37" s="21"/>
      <c r="F37" s="21"/>
      <c r="G37" s="21">
        <f>G10-G35</f>
        <v>266819712.88999999</v>
      </c>
      <c r="H37" s="48"/>
      <c r="I37" s="21">
        <f>I10-I35</f>
        <v>3575271</v>
      </c>
    </row>
    <row r="38" spans="2:14">
      <c r="B38" s="22" t="s">
        <v>67</v>
      </c>
      <c r="C38" s="21"/>
      <c r="D38" s="21"/>
      <c r="E38" s="21"/>
      <c r="F38" s="21"/>
      <c r="G38" s="24"/>
      <c r="H38" s="48"/>
      <c r="I38" s="24">
        <v>-1034878</v>
      </c>
      <c r="N38" s="88"/>
    </row>
    <row r="39" spans="2:14" ht="7.5" customHeight="1">
      <c r="B39" s="22"/>
      <c r="C39" s="21"/>
      <c r="D39" s="21"/>
      <c r="E39" s="21"/>
      <c r="F39" s="21"/>
      <c r="G39" s="21"/>
      <c r="H39" s="48"/>
      <c r="I39" s="21"/>
    </row>
    <row r="40" spans="2:14">
      <c r="B40" s="22" t="s">
        <v>68</v>
      </c>
      <c r="C40" s="21"/>
      <c r="D40" s="21"/>
      <c r="E40" s="21"/>
      <c r="F40" s="21"/>
      <c r="G40" s="21">
        <f>SUM(G37:G39)</f>
        <v>266819712.88999999</v>
      </c>
      <c r="H40" s="48"/>
      <c r="I40" s="21">
        <f>SUM(I37:I39)</f>
        <v>2540393</v>
      </c>
    </row>
    <row r="41" spans="2:14">
      <c r="B41" s="22" t="s">
        <v>69</v>
      </c>
      <c r="C41" s="21"/>
      <c r="D41" s="21"/>
      <c r="E41" s="21"/>
      <c r="F41" s="21"/>
      <c r="G41" s="24"/>
      <c r="H41" s="48"/>
      <c r="I41" s="24">
        <v>-186976</v>
      </c>
    </row>
    <row r="42" spans="2:14" ht="9" customHeight="1">
      <c r="B42" s="22"/>
      <c r="C42" s="21"/>
      <c r="D42" s="21" t="s">
        <v>70</v>
      </c>
      <c r="E42" s="21"/>
      <c r="F42" s="21"/>
      <c r="G42" s="21"/>
      <c r="H42" s="48"/>
      <c r="I42" s="21"/>
    </row>
    <row r="43" spans="2:14">
      <c r="B43" s="22" t="s">
        <v>71</v>
      </c>
      <c r="C43" s="21"/>
      <c r="D43" s="21"/>
      <c r="E43" s="21"/>
      <c r="F43" s="21"/>
      <c r="G43" s="21">
        <f>SUM(G40:G41)</f>
        <v>266819712.88999999</v>
      </c>
      <c r="H43" s="48"/>
      <c r="I43" s="21">
        <f>SUM(I40:I41)</f>
        <v>2353417</v>
      </c>
    </row>
    <row r="44" spans="2:14">
      <c r="B44" s="22" t="s">
        <v>72</v>
      </c>
      <c r="C44" s="21"/>
      <c r="D44" s="21"/>
      <c r="E44" s="21"/>
      <c r="F44" s="21"/>
      <c r="G44" s="25">
        <v>2353417</v>
      </c>
      <c r="H44" s="48"/>
      <c r="I44" s="25">
        <v>26481725</v>
      </c>
    </row>
    <row r="45" spans="2:14" ht="6.75" customHeight="1">
      <c r="B45" s="22"/>
      <c r="C45" s="21"/>
      <c r="D45" s="21"/>
      <c r="E45" s="21"/>
      <c r="F45" s="21"/>
      <c r="G45" s="21"/>
      <c r="H45" s="48"/>
      <c r="I45" s="21"/>
    </row>
    <row r="46" spans="2:14" ht="15.75" thickBot="1">
      <c r="B46" s="22" t="s">
        <v>73</v>
      </c>
      <c r="C46" s="21"/>
      <c r="D46" s="21"/>
      <c r="E46" s="21"/>
      <c r="F46" s="21"/>
      <c r="G46" s="64">
        <f>SUM(G43,G44)</f>
        <v>269173129.88999999</v>
      </c>
      <c r="H46" s="48"/>
      <c r="I46" s="47">
        <f>SUM(I43,I44)</f>
        <v>28835142</v>
      </c>
    </row>
    <row r="47" spans="2:14" ht="15.75" thickTop="1">
      <c r="B47" s="28"/>
      <c r="C47" s="28"/>
      <c r="D47" s="28"/>
      <c r="E47" s="28"/>
      <c r="F47" s="28"/>
      <c r="G47" s="28"/>
    </row>
    <row r="48" spans="2:14">
      <c r="B48" s="28"/>
      <c r="C48" s="28"/>
      <c r="D48" s="28"/>
      <c r="E48" s="28"/>
      <c r="F48" s="28"/>
      <c r="G48" s="28"/>
    </row>
  </sheetData>
  <printOptions gridLines="1"/>
  <pageMargins left="0.70866141732283472" right="0.70866141732283472" top="0.74803149606299213" bottom="0.74803149606299213" header="0.31496062992125984" footer="0.31496062992125984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S71"/>
  <sheetViews>
    <sheetView topLeftCell="A5" zoomScale="110" zoomScaleNormal="110" workbookViewId="0">
      <pane ySplit="1635" topLeftCell="A10" activePane="bottomLeft"/>
      <selection activeCell="G24" sqref="G24"/>
      <selection pane="bottomLeft" activeCell="I18" sqref="I18"/>
    </sheetView>
  </sheetViews>
  <sheetFormatPr defaultRowHeight="15"/>
  <cols>
    <col min="6" max="6" width="6.85546875" customWidth="1"/>
    <col min="7" max="7" width="17.5703125" customWidth="1"/>
    <col min="8" max="8" width="17.140625" customWidth="1"/>
    <col min="9" max="9" width="16.140625" customWidth="1"/>
    <col min="10" max="10" width="15.42578125" customWidth="1"/>
    <col min="11" max="11" width="16.28515625" customWidth="1"/>
    <col min="14" max="14" width="19.28515625" customWidth="1"/>
    <col min="15" max="15" width="11.7109375" customWidth="1"/>
    <col min="16" max="16" width="11.5703125" bestFit="1" customWidth="1"/>
    <col min="18" max="18" width="13.140625" customWidth="1"/>
  </cols>
  <sheetData>
    <row r="2" spans="1:19">
      <c r="A2" s="28"/>
      <c r="B2" s="21">
        <v>1</v>
      </c>
      <c r="C2" s="29" t="s">
        <v>76</v>
      </c>
      <c r="D2" s="30"/>
      <c r="E2" s="21"/>
    </row>
    <row r="3" spans="1:19">
      <c r="A3" s="28"/>
      <c r="B3" s="21"/>
      <c r="C3" s="21" t="s">
        <v>77</v>
      </c>
      <c r="D3" s="21"/>
      <c r="E3" s="21"/>
    </row>
    <row r="4" spans="1:19">
      <c r="A4" s="28"/>
      <c r="B4" s="21"/>
      <c r="C4" s="21" t="s">
        <v>78</v>
      </c>
      <c r="D4" s="21"/>
      <c r="E4" s="21"/>
    </row>
    <row r="5" spans="1:19">
      <c r="A5" s="28"/>
      <c r="B5" s="21"/>
      <c r="C5" s="21"/>
      <c r="D5" s="21"/>
      <c r="E5" s="21"/>
    </row>
    <row r="6" spans="1:19">
      <c r="A6" s="28"/>
      <c r="B6" s="21">
        <v>2</v>
      </c>
      <c r="C6" s="31" t="s">
        <v>79</v>
      </c>
      <c r="D6" s="32"/>
      <c r="E6" s="28"/>
    </row>
    <row r="7" spans="1:19" ht="30">
      <c r="G7" s="34" t="s">
        <v>81</v>
      </c>
      <c r="H7" s="34" t="s">
        <v>3</v>
      </c>
      <c r="I7" s="34" t="s">
        <v>4</v>
      </c>
      <c r="J7" s="34" t="s">
        <v>82</v>
      </c>
      <c r="K7" s="33" t="s">
        <v>80</v>
      </c>
    </row>
    <row r="8" spans="1:19">
      <c r="G8" s="23" t="s">
        <v>46</v>
      </c>
      <c r="H8" s="23" t="s">
        <v>46</v>
      </c>
      <c r="I8" s="23" t="s">
        <v>46</v>
      </c>
      <c r="J8" s="23" t="s">
        <v>46</v>
      </c>
      <c r="K8" s="23" t="s">
        <v>46</v>
      </c>
      <c r="L8" s="28"/>
      <c r="N8" s="67"/>
    </row>
    <row r="10" spans="1:19" ht="30">
      <c r="C10" s="35" t="s">
        <v>83</v>
      </c>
      <c r="N10" s="68" t="s">
        <v>139</v>
      </c>
      <c r="O10" s="69" t="s">
        <v>140</v>
      </c>
      <c r="P10" s="68" t="s">
        <v>141</v>
      </c>
      <c r="Q10" s="68" t="s">
        <v>142</v>
      </c>
      <c r="R10" s="68" t="s">
        <v>85</v>
      </c>
      <c r="S10" s="68" t="s">
        <v>145</v>
      </c>
    </row>
    <row r="11" spans="1:19">
      <c r="C11" s="28" t="s">
        <v>87</v>
      </c>
      <c r="G11" s="7">
        <v>142453443</v>
      </c>
      <c r="H11" s="7">
        <v>4990382</v>
      </c>
      <c r="I11" s="7">
        <v>10</v>
      </c>
      <c r="J11" s="7">
        <v>1880010</v>
      </c>
      <c r="K11" s="7">
        <f>SUM(G11:J11)</f>
        <v>149323845</v>
      </c>
      <c r="N11" s="70" t="s">
        <v>143</v>
      </c>
      <c r="O11" s="71">
        <v>41640</v>
      </c>
      <c r="P11" s="72">
        <v>642600</v>
      </c>
      <c r="Q11" s="73">
        <v>0.15</v>
      </c>
      <c r="R11" s="72">
        <f>P11*Q11</f>
        <v>96390</v>
      </c>
      <c r="S11" s="70" t="s">
        <v>146</v>
      </c>
    </row>
    <row r="12" spans="1:19">
      <c r="C12" s="28" t="s">
        <v>84</v>
      </c>
      <c r="G12" s="7">
        <v>0</v>
      </c>
      <c r="H12" s="7">
        <v>0</v>
      </c>
      <c r="I12" s="7">
        <v>4927786.07</v>
      </c>
      <c r="J12" s="7">
        <v>0</v>
      </c>
      <c r="K12" s="7">
        <f>SUM(G12:J12)</f>
        <v>4927786.07</v>
      </c>
      <c r="N12" s="70" t="s">
        <v>144</v>
      </c>
      <c r="O12" s="71">
        <v>41731</v>
      </c>
      <c r="P12" s="72">
        <v>700000</v>
      </c>
      <c r="Q12" s="73">
        <v>0.15</v>
      </c>
      <c r="R12" s="72">
        <f>P12*Q12*(9/12)</f>
        <v>78750</v>
      </c>
      <c r="S12" s="70" t="s">
        <v>147</v>
      </c>
    </row>
    <row r="13" spans="1:19">
      <c r="C13" s="28"/>
      <c r="G13" s="75"/>
      <c r="H13" s="75"/>
      <c r="I13" s="75"/>
      <c r="J13" s="75"/>
      <c r="K13" s="75"/>
      <c r="N13" s="70" t="s">
        <v>148</v>
      </c>
      <c r="O13" s="71">
        <v>41723</v>
      </c>
      <c r="P13" s="72">
        <v>976500.32</v>
      </c>
      <c r="Q13" s="73">
        <v>0.15</v>
      </c>
      <c r="R13" s="72">
        <f>P13*Q13*(9/12)</f>
        <v>109856.28599999999</v>
      </c>
      <c r="S13" s="70" t="s">
        <v>147</v>
      </c>
    </row>
    <row r="14" spans="1:19" ht="17.25">
      <c r="C14" s="28" t="s">
        <v>88</v>
      </c>
      <c r="G14" s="76">
        <f>SUM(G11:G12)</f>
        <v>142453443</v>
      </c>
      <c r="H14" s="76">
        <f t="shared" ref="H14:K14" si="0">SUM(H11:H12)</f>
        <v>4990382</v>
      </c>
      <c r="I14" s="76">
        <f t="shared" si="0"/>
        <v>4927796.07</v>
      </c>
      <c r="J14" s="76">
        <f t="shared" si="0"/>
        <v>1880010</v>
      </c>
      <c r="K14" s="76">
        <f t="shared" si="0"/>
        <v>154251631.06999999</v>
      </c>
      <c r="N14" s="70" t="s">
        <v>149</v>
      </c>
      <c r="O14" s="71">
        <v>41646</v>
      </c>
      <c r="P14" s="72">
        <v>97000</v>
      </c>
      <c r="Q14" s="73">
        <v>0.15</v>
      </c>
      <c r="R14" s="72">
        <f>P14*Q14</f>
        <v>14550</v>
      </c>
      <c r="S14" s="70" t="s">
        <v>146</v>
      </c>
    </row>
    <row r="15" spans="1:19">
      <c r="C15" s="28"/>
      <c r="G15" s="7"/>
      <c r="H15" s="7"/>
      <c r="I15" s="7"/>
      <c r="J15" s="7"/>
      <c r="K15" s="7"/>
      <c r="N15" s="70" t="s">
        <v>150</v>
      </c>
      <c r="O15" s="71">
        <v>41719</v>
      </c>
      <c r="P15" s="72">
        <v>700000</v>
      </c>
      <c r="Q15" s="73">
        <v>0.15</v>
      </c>
      <c r="R15" s="72">
        <f>P15*Q15*(9/12)</f>
        <v>78750</v>
      </c>
      <c r="S15" s="70" t="s">
        <v>147</v>
      </c>
    </row>
    <row r="16" spans="1:19">
      <c r="C16" s="35" t="s">
        <v>85</v>
      </c>
      <c r="G16" s="7"/>
      <c r="H16" s="7"/>
      <c r="I16" s="7"/>
      <c r="J16" s="7"/>
      <c r="K16" s="7"/>
      <c r="N16" s="70"/>
      <c r="O16" s="70"/>
      <c r="P16" s="72"/>
      <c r="Q16" s="70"/>
      <c r="R16" s="74">
        <f>SUM(R11:R15)</f>
        <v>378296.28599999996</v>
      </c>
      <c r="S16" s="70"/>
    </row>
    <row r="17" spans="2:18">
      <c r="C17" s="28" t="s">
        <v>87</v>
      </c>
      <c r="G17" s="7">
        <v>15722207</v>
      </c>
      <c r="H17" s="7">
        <v>22908795</v>
      </c>
      <c r="I17" s="7">
        <v>21474440</v>
      </c>
      <c r="J17" s="7">
        <v>4092680</v>
      </c>
      <c r="K17" s="7">
        <f>SUM(G17:J17)</f>
        <v>64198122</v>
      </c>
      <c r="R17" s="7"/>
    </row>
    <row r="18" spans="2:18">
      <c r="C18" s="28" t="s">
        <v>86</v>
      </c>
      <c r="G18" s="55">
        <f>G14*0.02</f>
        <v>2849068.86</v>
      </c>
      <c r="H18" s="55">
        <f>H14*0.15</f>
        <v>748557.29999999993</v>
      </c>
      <c r="I18" s="55">
        <f>I14*0.15</f>
        <v>739169.4105</v>
      </c>
      <c r="J18" s="55">
        <f>J14*0.2</f>
        <v>376002</v>
      </c>
      <c r="K18" s="55">
        <f>SUM(G18:J18)</f>
        <v>4712797.5704999994</v>
      </c>
    </row>
    <row r="19" spans="2:18">
      <c r="C19" s="28"/>
      <c r="G19" s="7"/>
      <c r="H19" s="7"/>
      <c r="I19" s="7"/>
      <c r="J19" s="7"/>
      <c r="K19" s="7"/>
    </row>
    <row r="20" spans="2:18">
      <c r="C20" s="28" t="s">
        <v>88</v>
      </c>
      <c r="G20" s="55">
        <f>G17+G18</f>
        <v>18571275.859999999</v>
      </c>
      <c r="H20" s="55">
        <f t="shared" ref="H20:K20" si="1">H17+H18</f>
        <v>23657352.300000001</v>
      </c>
      <c r="I20" s="55">
        <f t="shared" si="1"/>
        <v>22213609.410500001</v>
      </c>
      <c r="J20" s="55">
        <f t="shared" si="1"/>
        <v>4468682</v>
      </c>
      <c r="K20" s="55">
        <f t="shared" si="1"/>
        <v>68910919.570500001</v>
      </c>
    </row>
    <row r="21" spans="2:18">
      <c r="C21" s="28"/>
      <c r="G21" s="57"/>
      <c r="H21" s="57"/>
      <c r="I21" s="57"/>
      <c r="J21" s="57"/>
      <c r="K21" s="57"/>
    </row>
    <row r="22" spans="2:18">
      <c r="G22" s="57"/>
      <c r="H22" s="57"/>
      <c r="I22" s="57"/>
      <c r="J22" s="57"/>
      <c r="K22" s="57"/>
    </row>
    <row r="23" spans="2:18">
      <c r="C23" s="1" t="s">
        <v>107</v>
      </c>
      <c r="G23" s="57"/>
      <c r="H23" s="57"/>
      <c r="I23" s="57"/>
      <c r="J23" s="57"/>
      <c r="K23" s="57"/>
    </row>
    <row r="24" spans="2:18">
      <c r="C24" t="s">
        <v>88</v>
      </c>
      <c r="G24" s="7">
        <f>G14-G20</f>
        <v>123882167.14</v>
      </c>
      <c r="H24" s="7">
        <v>10</v>
      </c>
      <c r="I24" s="7">
        <f>I14-I18</f>
        <v>4188626.6595000001</v>
      </c>
      <c r="J24" s="7">
        <v>10</v>
      </c>
      <c r="K24" s="7">
        <f>SUM(G24:J24)</f>
        <v>128070813.7995</v>
      </c>
    </row>
    <row r="25" spans="2:18">
      <c r="C25" t="s">
        <v>108</v>
      </c>
      <c r="G25" s="7">
        <v>142453443</v>
      </c>
      <c r="H25" s="7">
        <v>4990382</v>
      </c>
      <c r="I25" s="7">
        <v>10</v>
      </c>
      <c r="J25" s="7">
        <v>1880010</v>
      </c>
      <c r="K25" s="7">
        <f>SUM(G25:J25)</f>
        <v>149323845</v>
      </c>
    </row>
    <row r="26" spans="2:18">
      <c r="H26" s="57"/>
      <c r="I26" s="57"/>
      <c r="J26" s="57"/>
      <c r="K26" s="57"/>
    </row>
    <row r="27" spans="2:18">
      <c r="H27" s="57"/>
      <c r="I27" s="57"/>
      <c r="J27" s="57"/>
      <c r="K27" s="57"/>
    </row>
    <row r="28" spans="2:18">
      <c r="H28" s="57"/>
      <c r="I28" s="57"/>
      <c r="J28" s="57"/>
      <c r="K28" s="57"/>
    </row>
    <row r="29" spans="2:18">
      <c r="H29" s="57"/>
      <c r="I29" s="57"/>
      <c r="J29" s="83">
        <v>2014</v>
      </c>
      <c r="K29" s="82">
        <v>2013</v>
      </c>
    </row>
    <row r="30" spans="2:18">
      <c r="B30" s="39">
        <v>3</v>
      </c>
      <c r="C30" s="1" t="s">
        <v>109</v>
      </c>
      <c r="H30" s="57"/>
      <c r="I30" s="57"/>
      <c r="J30" s="77" t="s">
        <v>46</v>
      </c>
      <c r="K30" s="77" t="s">
        <v>46</v>
      </c>
    </row>
    <row r="31" spans="2:18">
      <c r="B31" s="39" t="s">
        <v>110</v>
      </c>
      <c r="C31" t="s">
        <v>111</v>
      </c>
      <c r="H31" s="57"/>
      <c r="I31" s="57"/>
      <c r="J31" s="57"/>
      <c r="K31" s="57"/>
    </row>
    <row r="32" spans="2:18">
      <c r="C32" t="s">
        <v>27</v>
      </c>
      <c r="H32" s="57"/>
      <c r="I32" s="57"/>
      <c r="J32" s="57">
        <v>6381879</v>
      </c>
      <c r="K32" s="7">
        <v>4827774</v>
      </c>
    </row>
    <row r="33" spans="2:11">
      <c r="C33" t="s">
        <v>13</v>
      </c>
      <c r="H33" s="57"/>
      <c r="I33" s="57"/>
      <c r="J33" s="57">
        <v>1265000</v>
      </c>
      <c r="K33" s="7">
        <v>1863000</v>
      </c>
    </row>
    <row r="34" spans="2:11">
      <c r="C34" t="s">
        <v>112</v>
      </c>
      <c r="H34" s="57"/>
      <c r="I34" s="57"/>
      <c r="J34" s="55"/>
      <c r="K34" s="55">
        <v>0</v>
      </c>
    </row>
    <row r="35" spans="2:11" ht="6.75" customHeight="1">
      <c r="H35" s="57"/>
      <c r="I35" s="57"/>
      <c r="J35" s="7"/>
      <c r="K35" s="7"/>
    </row>
    <row r="36" spans="2:11">
      <c r="H36" s="57"/>
      <c r="I36" s="57"/>
      <c r="J36" s="7">
        <f>SUM(J32:J34)</f>
        <v>7646879</v>
      </c>
      <c r="K36" s="7">
        <f>SUM(K32:K34)</f>
        <v>6690774</v>
      </c>
    </row>
    <row r="37" spans="2:11">
      <c r="B37" s="39" t="s">
        <v>113</v>
      </c>
      <c r="C37" t="s">
        <v>114</v>
      </c>
      <c r="H37" s="57"/>
      <c r="I37" s="57"/>
      <c r="J37" s="55">
        <v>0</v>
      </c>
      <c r="K37" s="55">
        <v>0</v>
      </c>
    </row>
    <row r="38" spans="2:11" ht="17.25">
      <c r="H38" s="57"/>
      <c r="I38" s="57"/>
      <c r="J38" s="78">
        <f>SUM(J36:J37)</f>
        <v>7646879</v>
      </c>
      <c r="K38" s="78">
        <f>SUM(K36:K37)</f>
        <v>6690774</v>
      </c>
    </row>
    <row r="39" spans="2:11">
      <c r="H39" s="57"/>
      <c r="I39" s="57"/>
      <c r="J39" s="7"/>
      <c r="K39" s="7"/>
    </row>
    <row r="40" spans="2:11">
      <c r="H40" s="57"/>
      <c r="I40" s="57"/>
      <c r="J40" s="57"/>
      <c r="K40" s="57"/>
    </row>
    <row r="41" spans="2:11">
      <c r="B41" s="39">
        <v>4</v>
      </c>
      <c r="C41" s="1" t="s">
        <v>115</v>
      </c>
      <c r="H41" s="57"/>
      <c r="I41" s="57"/>
      <c r="J41" s="57"/>
      <c r="K41" s="57"/>
    </row>
    <row r="42" spans="2:11">
      <c r="B42" s="39" t="s">
        <v>110</v>
      </c>
      <c r="C42" s="40" t="s">
        <v>111</v>
      </c>
      <c r="H42" s="57"/>
      <c r="I42" s="57"/>
      <c r="J42" s="57"/>
      <c r="K42" s="57"/>
    </row>
    <row r="43" spans="2:11">
      <c r="C43" t="s">
        <v>116</v>
      </c>
      <c r="H43" s="57"/>
      <c r="I43" s="57"/>
      <c r="J43" s="57">
        <v>3587607</v>
      </c>
      <c r="K43" s="7">
        <v>9385775</v>
      </c>
    </row>
    <row r="44" spans="2:11">
      <c r="C44" t="s">
        <v>117</v>
      </c>
      <c r="H44" s="57"/>
      <c r="I44" s="57"/>
      <c r="J44" s="7">
        <v>0</v>
      </c>
      <c r="K44" s="7">
        <v>2000000</v>
      </c>
    </row>
    <row r="45" spans="2:11">
      <c r="C45" t="s">
        <v>118</v>
      </c>
      <c r="H45" s="57"/>
      <c r="I45" s="57"/>
      <c r="J45" s="7"/>
      <c r="K45" s="7">
        <v>0</v>
      </c>
    </row>
    <row r="46" spans="2:11">
      <c r="H46" s="57"/>
      <c r="I46" s="57"/>
      <c r="J46" s="75">
        <f>SUM(J43:J45)</f>
        <v>3587607</v>
      </c>
      <c r="K46" s="75">
        <f>SUM(K43:K45)</f>
        <v>11385775</v>
      </c>
    </row>
    <row r="47" spans="2:11" ht="8.25" customHeight="1">
      <c r="H47" s="57"/>
      <c r="I47" s="57"/>
      <c r="J47" s="79"/>
      <c r="K47" s="79"/>
    </row>
    <row r="48" spans="2:11">
      <c r="B48" s="39" t="s">
        <v>113</v>
      </c>
      <c r="C48" t="s">
        <v>114</v>
      </c>
      <c r="H48" s="57"/>
      <c r="I48" s="57"/>
      <c r="J48" s="55">
        <v>0</v>
      </c>
      <c r="K48" s="80">
        <v>0</v>
      </c>
    </row>
    <row r="49" spans="2:11" ht="9" customHeight="1">
      <c r="H49" s="57"/>
      <c r="I49" s="57"/>
      <c r="J49" s="7"/>
      <c r="K49" s="7"/>
    </row>
    <row r="50" spans="2:11">
      <c r="H50" s="57"/>
      <c r="I50" s="57"/>
      <c r="J50" s="81">
        <f>SUM(J46:J48)</f>
        <v>3587607</v>
      </c>
      <c r="K50" s="81">
        <f>SUM(K46:K48)</f>
        <v>11385775</v>
      </c>
    </row>
    <row r="51" spans="2:11">
      <c r="H51" s="57"/>
      <c r="I51" s="57"/>
      <c r="J51" s="57"/>
      <c r="K51" s="57"/>
    </row>
    <row r="53" spans="2:11">
      <c r="B53" s="6">
        <v>5</v>
      </c>
      <c r="C53" s="89" t="s">
        <v>186</v>
      </c>
    </row>
    <row r="54" spans="2:11">
      <c r="C54" t="s">
        <v>187</v>
      </c>
    </row>
    <row r="57" spans="2:11">
      <c r="B57" s="6">
        <v>6</v>
      </c>
      <c r="C57" s="89" t="s">
        <v>188</v>
      </c>
    </row>
    <row r="58" spans="2:11">
      <c r="C58" t="s">
        <v>189</v>
      </c>
      <c r="J58" s="7">
        <v>12500000</v>
      </c>
      <c r="K58" s="7">
        <v>12500000</v>
      </c>
    </row>
    <row r="59" spans="2:11">
      <c r="J59" s="7"/>
      <c r="K59" s="7"/>
    </row>
    <row r="60" spans="2:11">
      <c r="J60" s="7"/>
      <c r="K60" s="7"/>
    </row>
    <row r="61" spans="2:11">
      <c r="B61" s="6">
        <v>7</v>
      </c>
      <c r="C61" s="89" t="s">
        <v>190</v>
      </c>
      <c r="J61" s="7"/>
      <c r="K61" s="7"/>
    </row>
    <row r="62" spans="2:11">
      <c r="C62" t="s">
        <v>191</v>
      </c>
      <c r="J62" s="7">
        <v>0</v>
      </c>
      <c r="K62" s="7">
        <v>0</v>
      </c>
    </row>
    <row r="63" spans="2:11">
      <c r="C63" t="s">
        <v>192</v>
      </c>
      <c r="J63" s="55">
        <v>34745160</v>
      </c>
      <c r="K63" s="55">
        <v>13716367</v>
      </c>
    </row>
    <row r="64" spans="2:11" ht="5.25" customHeight="1">
      <c r="J64" s="7"/>
      <c r="K64" s="7"/>
    </row>
    <row r="65" spans="2:11" ht="15.75" thickBot="1">
      <c r="J65" s="84">
        <f>SUM(J62:J64)</f>
        <v>34745160</v>
      </c>
      <c r="K65" s="84">
        <f>SUM(K62:K64)</f>
        <v>13716367</v>
      </c>
    </row>
    <row r="66" spans="2:11" ht="15.75" thickTop="1">
      <c r="J66" s="7"/>
      <c r="K66" s="7"/>
    </row>
    <row r="67" spans="2:11" ht="15.75" thickBot="1">
      <c r="C67" t="s">
        <v>118</v>
      </c>
      <c r="J67" s="84">
        <v>0</v>
      </c>
      <c r="K67" s="84">
        <v>-1796063</v>
      </c>
    </row>
    <row r="68" spans="2:11" ht="15.75" thickTop="1">
      <c r="J68" s="7"/>
      <c r="K68" s="7"/>
    </row>
    <row r="69" spans="2:11">
      <c r="J69" s="7"/>
      <c r="K69" s="7"/>
    </row>
    <row r="70" spans="2:11">
      <c r="B70" s="6">
        <v>8</v>
      </c>
      <c r="C70" s="89" t="s">
        <v>193</v>
      </c>
      <c r="J70" s="7"/>
      <c r="K70" s="7"/>
    </row>
    <row r="71" spans="2:11">
      <c r="C71" t="s">
        <v>194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M37"/>
  <sheetViews>
    <sheetView topLeftCell="A14" zoomScale="110" zoomScaleNormal="110" workbookViewId="0">
      <selection activeCell="G38" sqref="G38"/>
    </sheetView>
  </sheetViews>
  <sheetFormatPr defaultRowHeight="15"/>
  <cols>
    <col min="1" max="1" width="5.7109375" customWidth="1"/>
    <col min="5" max="5" width="5.42578125" customWidth="1"/>
    <col min="6" max="6" width="9.140625" style="39"/>
    <col min="7" max="7" width="12.7109375" customWidth="1"/>
    <col min="8" max="8" width="4.85546875" style="28" customWidth="1"/>
    <col min="9" max="9" width="15.28515625" bestFit="1" customWidth="1"/>
    <col min="13" max="13" width="12.5703125" bestFit="1" customWidth="1"/>
  </cols>
  <sheetData>
    <row r="1" spans="2:13" ht="23.25">
      <c r="B1" s="53" t="s">
        <v>23</v>
      </c>
    </row>
    <row r="2" spans="2:13" ht="23.25">
      <c r="B2" s="54" t="s">
        <v>229</v>
      </c>
    </row>
    <row r="3" spans="2:13">
      <c r="H3" s="60"/>
    </row>
    <row r="4" spans="2:13">
      <c r="G4" s="38">
        <v>2014</v>
      </c>
      <c r="H4" s="61"/>
      <c r="I4" s="38">
        <v>2013</v>
      </c>
    </row>
    <row r="5" spans="2:13">
      <c r="B5" s="1" t="s">
        <v>120</v>
      </c>
      <c r="F5" s="37" t="s">
        <v>121</v>
      </c>
      <c r="G5" s="23" t="s">
        <v>46</v>
      </c>
      <c r="H5" s="62"/>
      <c r="I5" s="23" t="s">
        <v>46</v>
      </c>
    </row>
    <row r="6" spans="2:13">
      <c r="H6" s="60"/>
    </row>
    <row r="7" spans="2:13">
      <c r="H7" s="60"/>
    </row>
    <row r="8" spans="2:13">
      <c r="B8" s="1" t="s">
        <v>79</v>
      </c>
      <c r="F8" s="39">
        <v>2</v>
      </c>
      <c r="G8" s="7">
        <v>126530881</v>
      </c>
      <c r="H8" s="60"/>
      <c r="I8" s="7">
        <v>149323845</v>
      </c>
    </row>
    <row r="9" spans="2:13">
      <c r="H9" s="60"/>
    </row>
    <row r="10" spans="2:13">
      <c r="B10" s="1" t="s">
        <v>122</v>
      </c>
      <c r="H10" s="60"/>
    </row>
    <row r="11" spans="2:13">
      <c r="B11" t="s">
        <v>123</v>
      </c>
      <c r="G11" s="7">
        <f>'Trial Balance'!E19</f>
        <v>7763319.7000000002</v>
      </c>
      <c r="H11" s="60"/>
      <c r="I11" s="7">
        <v>96687225</v>
      </c>
    </row>
    <row r="12" spans="2:13">
      <c r="B12" t="s">
        <v>124</v>
      </c>
      <c r="G12" s="7">
        <f>'Trial Balance'!E20+'Trial Balance'!E22</f>
        <v>7646879</v>
      </c>
      <c r="H12" s="60"/>
      <c r="I12" s="7">
        <v>6690774</v>
      </c>
      <c r="M12" s="57"/>
    </row>
    <row r="13" spans="2:13">
      <c r="B13" t="s">
        <v>125</v>
      </c>
      <c r="G13" s="55">
        <f>'Trial Balance'!E14+'Trial Balance'!E15+'Trial Balance'!E16+'Trial Balance'!E17+'Trial Balance'!E18</f>
        <v>34745159.57</v>
      </c>
      <c r="H13" s="60"/>
      <c r="I13" s="55">
        <v>13716367</v>
      </c>
    </row>
    <row r="14" spans="2:13" ht="7.5" customHeight="1">
      <c r="H14" s="60"/>
    </row>
    <row r="15" spans="2:13">
      <c r="G15" s="56">
        <f>SUM(G8:G13)</f>
        <v>176686239.26999998</v>
      </c>
      <c r="H15" s="63"/>
      <c r="I15" s="56">
        <f>SUM(I8:I13)</f>
        <v>266418211</v>
      </c>
    </row>
    <row r="16" spans="2:13">
      <c r="H16" s="60"/>
    </row>
    <row r="17" spans="2:13">
      <c r="H17" s="60"/>
    </row>
    <row r="18" spans="2:13">
      <c r="H18" s="60"/>
    </row>
    <row r="19" spans="2:13">
      <c r="B19" s="1" t="s">
        <v>126</v>
      </c>
      <c r="H19" s="60"/>
    </row>
    <row r="20" spans="2:13">
      <c r="B20" t="s">
        <v>127</v>
      </c>
      <c r="G20" s="7">
        <f>'Trial Balance'!G52</f>
        <v>3587607</v>
      </c>
      <c r="H20" s="60"/>
      <c r="I20" s="7">
        <v>38356760</v>
      </c>
    </row>
    <row r="21" spans="2:13">
      <c r="B21" t="s">
        <v>128</v>
      </c>
      <c r="G21" s="9"/>
      <c r="H21" s="60"/>
      <c r="I21" s="7">
        <v>1796063</v>
      </c>
    </row>
    <row r="22" spans="2:13">
      <c r="B22" t="s">
        <v>129</v>
      </c>
      <c r="G22" s="7">
        <v>98266964</v>
      </c>
      <c r="H22" s="60"/>
      <c r="I22" s="7">
        <v>117350596</v>
      </c>
    </row>
    <row r="23" spans="2:13">
      <c r="C23" t="s">
        <v>134</v>
      </c>
      <c r="G23" s="55">
        <v>4585792</v>
      </c>
      <c r="H23" s="60"/>
      <c r="I23" s="55">
        <v>6626976</v>
      </c>
    </row>
    <row r="24" spans="2:13" ht="9" customHeight="1">
      <c r="H24" s="60"/>
    </row>
    <row r="25" spans="2:13">
      <c r="G25" s="56">
        <f>SUM(G20:G23)</f>
        <v>106440363</v>
      </c>
      <c r="H25" s="60"/>
      <c r="I25" s="56">
        <f>SUM(I20:I23)</f>
        <v>164130395</v>
      </c>
    </row>
    <row r="26" spans="2:13" ht="9" customHeight="1">
      <c r="H26" s="60"/>
    </row>
    <row r="27" spans="2:13" ht="15.75" thickBot="1">
      <c r="G27" s="58">
        <f>G15-G25</f>
        <v>70245876.269999981</v>
      </c>
      <c r="H27" s="60"/>
      <c r="I27" s="58">
        <f>I15-I25</f>
        <v>102287816</v>
      </c>
      <c r="M27" s="57"/>
    </row>
    <row r="28" spans="2:13" ht="15.75" thickTop="1">
      <c r="H28" s="60"/>
    </row>
    <row r="29" spans="2:13">
      <c r="H29" s="60"/>
    </row>
    <row r="30" spans="2:13">
      <c r="H30" s="60"/>
    </row>
    <row r="31" spans="2:13">
      <c r="B31" s="1" t="s">
        <v>130</v>
      </c>
      <c r="H31" s="60"/>
    </row>
    <row r="32" spans="2:13">
      <c r="B32" t="s">
        <v>131</v>
      </c>
      <c r="G32" s="7">
        <v>12500000</v>
      </c>
      <c r="H32" s="60"/>
      <c r="I32" s="7">
        <v>12500000</v>
      </c>
    </row>
    <row r="33" spans="2:9">
      <c r="B33" t="s">
        <v>132</v>
      </c>
      <c r="G33" s="9">
        <v>0</v>
      </c>
      <c r="H33" s="60"/>
      <c r="I33" s="7">
        <v>0</v>
      </c>
    </row>
    <row r="34" spans="2:9">
      <c r="B34" t="s">
        <v>133</v>
      </c>
      <c r="G34" s="55">
        <f>'P&amp;L Acct'!G46</f>
        <v>269173129.88999999</v>
      </c>
      <c r="H34" s="60"/>
      <c r="I34" s="55">
        <v>228079424</v>
      </c>
    </row>
    <row r="35" spans="2:9" ht="7.5" customHeight="1">
      <c r="H35" s="60"/>
      <c r="I35" s="7"/>
    </row>
    <row r="36" spans="2:9" ht="15.75" thickBot="1">
      <c r="G36" s="59">
        <f>SUM(G32:G34)</f>
        <v>281673129.88999999</v>
      </c>
      <c r="H36" s="60"/>
      <c r="I36" s="59">
        <f>SUM(I32:I34)</f>
        <v>240579424</v>
      </c>
    </row>
    <row r="37" spans="2:9" ht="15.75" thickTop="1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52"/>
  <sheetViews>
    <sheetView topLeftCell="A2" workbookViewId="0">
      <selection activeCell="C5" sqref="C5"/>
    </sheetView>
  </sheetViews>
  <sheetFormatPr defaultRowHeight="15"/>
  <cols>
    <col min="9" max="9" width="12.5703125" bestFit="1" customWidth="1"/>
    <col min="10" max="10" width="14.28515625" bestFit="1" customWidth="1"/>
  </cols>
  <sheetData>
    <row r="1" spans="2:10" ht="23.25">
      <c r="B1" s="53" t="s">
        <v>23</v>
      </c>
    </row>
    <row r="2" spans="2:10" ht="23.25">
      <c r="B2" s="54" t="s">
        <v>135</v>
      </c>
    </row>
    <row r="3" spans="2:10" ht="23.25">
      <c r="B3" s="54" t="s">
        <v>74</v>
      </c>
    </row>
    <row r="5" spans="2:10">
      <c r="H5" s="37" t="s">
        <v>121</v>
      </c>
      <c r="I5" s="37">
        <v>2014</v>
      </c>
      <c r="J5" s="37">
        <v>2013</v>
      </c>
    </row>
    <row r="6" spans="2:10">
      <c r="I6" s="23" t="s">
        <v>46</v>
      </c>
      <c r="J6" s="23" t="s">
        <v>46</v>
      </c>
    </row>
    <row r="7" spans="2:10">
      <c r="B7" t="s">
        <v>136</v>
      </c>
      <c r="I7" s="7">
        <f>'P&amp;L Acct'!G37</f>
        <v>266819712.88999999</v>
      </c>
      <c r="J7" s="7">
        <v>3575271</v>
      </c>
    </row>
    <row r="8" spans="2:10">
      <c r="I8" s="7"/>
      <c r="J8" s="7"/>
    </row>
    <row r="9" spans="2:10">
      <c r="I9" s="7"/>
      <c r="J9" s="7"/>
    </row>
    <row r="10" spans="2:10">
      <c r="B10" s="1" t="s">
        <v>137</v>
      </c>
      <c r="I10" s="7"/>
      <c r="J10" s="7"/>
    </row>
    <row r="11" spans="2:10">
      <c r="B11" s="1" t="s">
        <v>138</v>
      </c>
      <c r="I11" s="7"/>
      <c r="J11" s="7"/>
    </row>
    <row r="12" spans="2:10">
      <c r="I12" s="7"/>
      <c r="J12" s="7"/>
    </row>
    <row r="13" spans="2:10">
      <c r="B13" t="s">
        <v>62</v>
      </c>
      <c r="I13" s="7">
        <v>4351924</v>
      </c>
      <c r="J13" s="7">
        <v>5773513</v>
      </c>
    </row>
    <row r="14" spans="2:10">
      <c r="I14" s="7"/>
      <c r="J14" s="7"/>
    </row>
    <row r="15" spans="2:10">
      <c r="I15" s="55"/>
      <c r="J15" s="55"/>
    </row>
    <row r="16" spans="2:10">
      <c r="B16" t="s">
        <v>151</v>
      </c>
      <c r="I16" s="7"/>
      <c r="J16" s="7"/>
    </row>
    <row r="17" spans="2:10">
      <c r="B17" t="s">
        <v>152</v>
      </c>
      <c r="I17" s="7">
        <f>SUM(I7:I13)</f>
        <v>271171636.88999999</v>
      </c>
      <c r="J17" s="7">
        <f>SUM(J7:J13)</f>
        <v>9348784</v>
      </c>
    </row>
    <row r="18" spans="2:10">
      <c r="I18" s="7"/>
      <c r="J18" s="7"/>
    </row>
    <row r="19" spans="2:10">
      <c r="B19" s="1" t="s">
        <v>153</v>
      </c>
      <c r="I19" s="7"/>
      <c r="J19" s="7"/>
    </row>
    <row r="20" spans="2:10">
      <c r="I20" s="7"/>
      <c r="J20" s="7"/>
    </row>
    <row r="21" spans="2:10">
      <c r="B21" t="s">
        <v>124</v>
      </c>
      <c r="I21" s="7">
        <f>'Trial Balance'!E20+'Trial Balance'!E22</f>
        <v>7646879</v>
      </c>
      <c r="J21" s="7">
        <v>874726</v>
      </c>
    </row>
    <row r="22" spans="2:10">
      <c r="B22" t="s">
        <v>123</v>
      </c>
      <c r="I22" s="7">
        <v>7763320</v>
      </c>
      <c r="J22" s="7">
        <v>0</v>
      </c>
    </row>
    <row r="23" spans="2:10">
      <c r="B23" t="s">
        <v>154</v>
      </c>
      <c r="I23" s="7">
        <v>-3587607</v>
      </c>
      <c r="J23" s="7">
        <v>-11132053</v>
      </c>
    </row>
    <row r="24" spans="2:10">
      <c r="B24" t="s">
        <v>155</v>
      </c>
      <c r="I24" s="55">
        <v>0</v>
      </c>
      <c r="J24" s="55">
        <v>-1442477</v>
      </c>
    </row>
    <row r="25" spans="2:10" ht="7.5" customHeight="1">
      <c r="I25" s="7"/>
      <c r="J25" s="7"/>
    </row>
    <row r="26" spans="2:10">
      <c r="B26" s="1" t="s">
        <v>156</v>
      </c>
      <c r="I26" s="7">
        <f>SUM(I17:I24)</f>
        <v>282994228.88999999</v>
      </c>
      <c r="J26" s="7">
        <f>SUM(J17:J24)</f>
        <v>-2351020</v>
      </c>
    </row>
    <row r="27" spans="2:10">
      <c r="I27" s="7"/>
      <c r="J27" s="7"/>
    </row>
    <row r="28" spans="2:10">
      <c r="B28" s="1" t="s">
        <v>157</v>
      </c>
      <c r="I28" s="7"/>
      <c r="J28" s="7"/>
    </row>
    <row r="29" spans="2:10">
      <c r="I29" s="7"/>
      <c r="J29" s="7"/>
    </row>
    <row r="30" spans="2:10">
      <c r="B30" t="s">
        <v>158</v>
      </c>
      <c r="I30" s="7">
        <v>3116100</v>
      </c>
      <c r="J30" s="7">
        <v>0</v>
      </c>
    </row>
    <row r="31" spans="2:10">
      <c r="I31" s="7"/>
      <c r="J31" s="7"/>
    </row>
    <row r="32" spans="2:10">
      <c r="I32" s="7"/>
      <c r="J32" s="7"/>
    </row>
    <row r="33" spans="2:10">
      <c r="I33" s="7"/>
      <c r="J33" s="7"/>
    </row>
    <row r="34" spans="2:10">
      <c r="B34" s="1" t="s">
        <v>159</v>
      </c>
      <c r="I34" s="7"/>
      <c r="J34" s="7"/>
    </row>
    <row r="35" spans="2:10">
      <c r="B35" t="s">
        <v>160</v>
      </c>
      <c r="I35" s="7">
        <v>0</v>
      </c>
      <c r="J35" s="7">
        <v>1796063</v>
      </c>
    </row>
    <row r="36" spans="2:10">
      <c r="B36" t="s">
        <v>161</v>
      </c>
      <c r="I36" s="7">
        <v>0</v>
      </c>
      <c r="J36" s="7">
        <v>0</v>
      </c>
    </row>
    <row r="37" spans="2:10">
      <c r="I37" s="55"/>
      <c r="J37" s="55"/>
    </row>
    <row r="38" spans="2:10">
      <c r="B38" s="1" t="s">
        <v>162</v>
      </c>
      <c r="I38" s="7"/>
    </row>
    <row r="39" spans="2:10">
      <c r="B39" s="1" t="s">
        <v>163</v>
      </c>
      <c r="I39" s="7">
        <f>SUM(I26:I36)</f>
        <v>286110328.88999999</v>
      </c>
      <c r="J39" s="7">
        <f>SUM(J26:J36)</f>
        <v>-554957</v>
      </c>
    </row>
    <row r="40" spans="2:10">
      <c r="I40" s="7"/>
    </row>
    <row r="41" spans="2:10">
      <c r="B41" t="s">
        <v>164</v>
      </c>
      <c r="I41" s="55">
        <v>13716367</v>
      </c>
      <c r="J41" s="55">
        <v>14271324</v>
      </c>
    </row>
    <row r="42" spans="2:10">
      <c r="I42" s="7"/>
      <c r="J42" s="7"/>
    </row>
    <row r="43" spans="2:10" ht="15.75" thickBot="1">
      <c r="B43" s="1" t="s">
        <v>165</v>
      </c>
      <c r="I43" s="84">
        <f>SUM(I39:I41)</f>
        <v>299826695.88999999</v>
      </c>
      <c r="J43" s="84">
        <f>SUM(J39:J41)</f>
        <v>13716367</v>
      </c>
    </row>
    <row r="44" spans="2:10" ht="15.75" thickTop="1">
      <c r="I44" s="7"/>
      <c r="J44" s="7"/>
    </row>
    <row r="45" spans="2:10">
      <c r="B45" s="1" t="s">
        <v>166</v>
      </c>
      <c r="I45" s="7"/>
      <c r="J45" s="7"/>
    </row>
    <row r="46" spans="2:10">
      <c r="I46" s="7"/>
      <c r="J46" s="7"/>
    </row>
    <row r="47" spans="2:10" ht="15.75" thickBot="1">
      <c r="B47" t="s">
        <v>167</v>
      </c>
      <c r="I47" s="84">
        <v>34745160</v>
      </c>
      <c r="J47" s="84">
        <v>13716367</v>
      </c>
    </row>
    <row r="48" spans="2:10" ht="15.75" thickTop="1">
      <c r="I48" s="7"/>
      <c r="J48" s="7"/>
    </row>
    <row r="49" spans="9:10">
      <c r="I49" s="7"/>
      <c r="J49" s="7"/>
    </row>
    <row r="50" spans="9:10">
      <c r="I50" s="7"/>
      <c r="J50" s="7"/>
    </row>
    <row r="51" spans="9:10">
      <c r="I51" s="7"/>
      <c r="J51" s="7"/>
    </row>
    <row r="52" spans="9:10">
      <c r="I52" s="7"/>
      <c r="J52" s="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O38"/>
  <sheetViews>
    <sheetView workbookViewId="0">
      <selection activeCell="I13" sqref="I13"/>
    </sheetView>
  </sheetViews>
  <sheetFormatPr defaultRowHeight="15"/>
  <cols>
    <col min="9" max="9" width="14" customWidth="1"/>
    <col min="11" max="11" width="1.85546875" customWidth="1"/>
    <col min="12" max="12" width="15.28515625" bestFit="1" customWidth="1"/>
    <col min="13" max="13" width="14.42578125" customWidth="1"/>
    <col min="15" max="15" width="13.28515625" customWidth="1"/>
  </cols>
  <sheetData>
    <row r="1" spans="2:15" ht="23.25">
      <c r="B1" s="53" t="s">
        <v>23</v>
      </c>
    </row>
    <row r="2" spans="2:15" ht="23.25">
      <c r="B2" s="54" t="s">
        <v>168</v>
      </c>
    </row>
    <row r="3" spans="2:15" ht="23.25">
      <c r="B3" s="54" t="s">
        <v>74</v>
      </c>
    </row>
    <row r="6" spans="2:15">
      <c r="I6" s="37">
        <v>2014</v>
      </c>
      <c r="J6" s="37"/>
      <c r="K6" s="37"/>
      <c r="L6" s="37">
        <v>2013</v>
      </c>
    </row>
    <row r="7" spans="2:15">
      <c r="I7" s="23" t="s">
        <v>46</v>
      </c>
      <c r="J7" s="23" t="s">
        <v>169</v>
      </c>
      <c r="K7" s="23"/>
      <c r="L7" s="23" t="s">
        <v>46</v>
      </c>
      <c r="M7" s="67" t="s">
        <v>169</v>
      </c>
    </row>
    <row r="8" spans="2:15">
      <c r="B8" t="s">
        <v>170</v>
      </c>
      <c r="I8" s="21">
        <v>655740945</v>
      </c>
      <c r="J8" s="7"/>
      <c r="L8" s="7">
        <v>265471223</v>
      </c>
    </row>
    <row r="9" spans="2:15">
      <c r="B9" t="s">
        <v>175</v>
      </c>
      <c r="I9" s="24">
        <f>-(144475454.38+80360087)</f>
        <v>-224835541.38</v>
      </c>
      <c r="J9" s="55"/>
      <c r="L9" s="55">
        <v>-244856439</v>
      </c>
      <c r="M9" s="85"/>
    </row>
    <row r="10" spans="2:15" ht="8.25" customHeight="1">
      <c r="I10" s="7"/>
      <c r="J10" s="7"/>
      <c r="L10" s="7"/>
    </row>
    <row r="11" spans="2:15" ht="15.75" thickBot="1">
      <c r="B11" t="s">
        <v>171</v>
      </c>
      <c r="I11" s="84">
        <f>SUM(I8:I9)</f>
        <v>430905403.62</v>
      </c>
      <c r="J11" s="84"/>
      <c r="L11" s="84">
        <f>SUM(L8:L9)</f>
        <v>20614784</v>
      </c>
      <c r="M11" s="86">
        <v>100</v>
      </c>
      <c r="O11" s="43"/>
    </row>
    <row r="12" spans="2:15" ht="15.75" thickTop="1">
      <c r="I12" s="7"/>
      <c r="J12" s="7"/>
      <c r="L12" s="7"/>
    </row>
    <row r="13" spans="2:15">
      <c r="I13" s="7"/>
      <c r="J13" s="7"/>
      <c r="L13" s="7"/>
    </row>
    <row r="14" spans="2:15">
      <c r="B14" s="1" t="s">
        <v>172</v>
      </c>
      <c r="I14" s="7"/>
      <c r="J14" s="7"/>
      <c r="L14" s="7"/>
    </row>
    <row r="15" spans="2:15">
      <c r="I15" s="7"/>
      <c r="J15" s="7"/>
      <c r="L15" s="7"/>
    </row>
    <row r="16" spans="2:15">
      <c r="I16" s="7"/>
      <c r="J16" s="7"/>
      <c r="L16" s="7"/>
    </row>
    <row r="17" spans="2:15">
      <c r="B17" s="1" t="s">
        <v>173</v>
      </c>
      <c r="I17" s="7"/>
      <c r="J17" s="7"/>
      <c r="L17" s="7"/>
    </row>
    <row r="18" spans="2:15">
      <c r="B18" t="s">
        <v>174</v>
      </c>
      <c r="I18" s="7">
        <f>'Trial Balance'!E29</f>
        <v>76742000</v>
      </c>
      <c r="J18" s="7"/>
      <c r="L18" s="7">
        <v>11266000</v>
      </c>
      <c r="M18">
        <v>55</v>
      </c>
      <c r="O18" s="21"/>
    </row>
    <row r="19" spans="2:15">
      <c r="I19" s="7"/>
      <c r="J19" s="7"/>
      <c r="L19" s="7"/>
    </row>
    <row r="20" spans="2:15">
      <c r="I20" s="7"/>
      <c r="J20" s="7"/>
      <c r="L20" s="7"/>
    </row>
    <row r="21" spans="2:15">
      <c r="B21" s="1" t="s">
        <v>176</v>
      </c>
      <c r="I21" s="7"/>
      <c r="J21" s="7"/>
      <c r="L21" s="7"/>
    </row>
    <row r="22" spans="2:15">
      <c r="B22" t="s">
        <v>177</v>
      </c>
      <c r="I22" s="7">
        <f>'P&amp;L Acct'!G38+'P&amp;L Acct'!G41</f>
        <v>0</v>
      </c>
      <c r="J22" s="7"/>
      <c r="L22" s="7">
        <v>1221854</v>
      </c>
      <c r="M22">
        <v>6</v>
      </c>
    </row>
    <row r="23" spans="2:15">
      <c r="I23" s="7"/>
      <c r="J23" s="7"/>
      <c r="L23" s="7"/>
    </row>
    <row r="24" spans="2:15">
      <c r="I24" s="7"/>
      <c r="J24" s="7"/>
      <c r="L24" s="7"/>
    </row>
    <row r="25" spans="2:15">
      <c r="B25" t="s">
        <v>178</v>
      </c>
      <c r="I25" s="7"/>
      <c r="J25" s="7"/>
      <c r="L25" s="7"/>
    </row>
    <row r="26" spans="2:15">
      <c r="I26" s="7"/>
      <c r="J26" s="7"/>
      <c r="L26" s="7"/>
    </row>
    <row r="27" spans="2:15">
      <c r="B27" t="s">
        <v>179</v>
      </c>
      <c r="I27" s="7">
        <v>0</v>
      </c>
      <c r="J27" s="7"/>
      <c r="L27" s="7">
        <v>0</v>
      </c>
      <c r="M27">
        <v>0</v>
      </c>
    </row>
    <row r="28" spans="2:15">
      <c r="I28" s="7"/>
      <c r="J28" s="7"/>
      <c r="L28" s="7"/>
    </row>
    <row r="29" spans="2:15">
      <c r="I29" s="7"/>
      <c r="J29" s="7"/>
      <c r="L29" s="7"/>
    </row>
    <row r="30" spans="2:15">
      <c r="B30" s="1" t="s">
        <v>180</v>
      </c>
      <c r="I30" s="7"/>
      <c r="J30" s="7"/>
      <c r="L30" s="7"/>
    </row>
    <row r="31" spans="2:15">
      <c r="B31" t="s">
        <v>62</v>
      </c>
      <c r="I31" s="7">
        <v>4351924</v>
      </c>
      <c r="J31" s="7"/>
      <c r="L31" s="7">
        <v>5773513</v>
      </c>
      <c r="M31">
        <v>28</v>
      </c>
    </row>
    <row r="32" spans="2:15">
      <c r="B32" t="s">
        <v>181</v>
      </c>
      <c r="I32" s="55"/>
      <c r="J32" s="55"/>
      <c r="L32" s="55">
        <v>2353417</v>
      </c>
      <c r="M32" s="85">
        <v>11</v>
      </c>
    </row>
    <row r="33" spans="2:13" ht="8.25" customHeight="1">
      <c r="I33" s="7"/>
      <c r="J33" s="7"/>
      <c r="L33" s="7"/>
    </row>
    <row r="34" spans="2:13" ht="15.75" thickBot="1">
      <c r="I34" s="58">
        <f>SUM(I18:I32)</f>
        <v>81093924</v>
      </c>
      <c r="J34" s="87"/>
      <c r="K34" s="1"/>
      <c r="L34" s="58">
        <f>SUM(L18:L32)</f>
        <v>20614784</v>
      </c>
      <c r="M34" s="87">
        <v>100</v>
      </c>
    </row>
    <row r="35" spans="2:13" ht="16.5" thickTop="1" thickBot="1"/>
    <row r="36" spans="2:13" ht="15.75">
      <c r="B36" s="199" t="s">
        <v>182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1"/>
    </row>
    <row r="37" spans="2:13" ht="15.75">
      <c r="B37" s="202" t="s">
        <v>183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4"/>
    </row>
    <row r="38" spans="2:13" ht="16.5" thickBot="1">
      <c r="B38" s="205" t="s">
        <v>184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</row>
  </sheetData>
  <mergeCells count="3">
    <mergeCell ref="B36:M36"/>
    <mergeCell ref="B37:M37"/>
    <mergeCell ref="B38:M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J31"/>
  <sheetViews>
    <sheetView topLeftCell="A5" workbookViewId="0">
      <selection activeCell="I21" sqref="I21"/>
    </sheetView>
  </sheetViews>
  <sheetFormatPr defaultRowHeight="15"/>
  <cols>
    <col min="9" max="9" width="13.28515625" bestFit="1" customWidth="1"/>
    <col min="10" max="10" width="12.5703125" bestFit="1" customWidth="1"/>
  </cols>
  <sheetData>
    <row r="1" spans="2:10" ht="23.25">
      <c r="B1" s="90" t="s">
        <v>23</v>
      </c>
    </row>
    <row r="2" spans="2:10" ht="23.25">
      <c r="B2" s="54" t="s">
        <v>195</v>
      </c>
    </row>
    <row r="3" spans="2:10" ht="23.25">
      <c r="B3" s="54" t="s">
        <v>196</v>
      </c>
    </row>
    <row r="6" spans="2:10">
      <c r="I6" s="23" t="s">
        <v>46</v>
      </c>
      <c r="J6" s="23" t="s">
        <v>46</v>
      </c>
    </row>
    <row r="7" spans="2:10">
      <c r="B7" s="1" t="s">
        <v>197</v>
      </c>
      <c r="I7" s="7"/>
      <c r="J7" s="7">
        <f>'P&amp;L Acct'!G37</f>
        <v>266819712.88999999</v>
      </c>
    </row>
    <row r="8" spans="2:10">
      <c r="B8" s="1" t="s">
        <v>198</v>
      </c>
      <c r="I8" s="7"/>
      <c r="J8" s="7"/>
    </row>
    <row r="9" spans="2:10">
      <c r="B9" t="s">
        <v>199</v>
      </c>
      <c r="I9" s="7">
        <v>4351924</v>
      </c>
      <c r="J9" s="7"/>
    </row>
    <row r="10" spans="2:10">
      <c r="B10" t="s">
        <v>200</v>
      </c>
      <c r="I10" s="55">
        <v>0</v>
      </c>
      <c r="J10" s="55">
        <f>I9+I10</f>
        <v>4351924</v>
      </c>
    </row>
    <row r="11" spans="2:10" ht="8.25" customHeight="1">
      <c r="I11" s="7"/>
      <c r="J11" s="7"/>
    </row>
    <row r="12" spans="2:10">
      <c r="B12" s="1" t="s">
        <v>201</v>
      </c>
      <c r="I12" s="7"/>
      <c r="J12" s="7">
        <f>SUM(J7:J10)</f>
        <v>271171636.88999999</v>
      </c>
    </row>
    <row r="13" spans="2:10">
      <c r="B13" s="1" t="s">
        <v>202</v>
      </c>
      <c r="I13" s="7"/>
      <c r="J13" s="7">
        <v>0</v>
      </c>
    </row>
    <row r="14" spans="2:10">
      <c r="B14" t="s">
        <v>203</v>
      </c>
      <c r="I14" s="7"/>
      <c r="J14" s="55">
        <v>0</v>
      </c>
    </row>
    <row r="15" spans="2:10">
      <c r="B15" s="1" t="s">
        <v>204</v>
      </c>
      <c r="I15" s="7"/>
      <c r="J15" s="7">
        <f>SUM(J12:J14)</f>
        <v>271171636.88999999</v>
      </c>
    </row>
    <row r="16" spans="2:10">
      <c r="I16" s="7"/>
      <c r="J16" s="7"/>
    </row>
    <row r="17" spans="2:10">
      <c r="B17" s="1" t="s">
        <v>205</v>
      </c>
      <c r="I17" s="7"/>
      <c r="J17" s="7"/>
    </row>
    <row r="18" spans="2:10">
      <c r="B18" t="s">
        <v>206</v>
      </c>
      <c r="I18" s="7">
        <v>53087347</v>
      </c>
      <c r="J18" s="7"/>
    </row>
    <row r="19" spans="2:10">
      <c r="B19" s="1" t="s">
        <v>207</v>
      </c>
      <c r="I19" s="7">
        <v>779025</v>
      </c>
      <c r="J19" s="7"/>
    </row>
    <row r="20" spans="2:10">
      <c r="B20" t="s">
        <v>208</v>
      </c>
      <c r="I20" s="55">
        <v>12423684</v>
      </c>
      <c r="J20" s="7"/>
    </row>
    <row r="21" spans="2:10">
      <c r="I21" s="7"/>
      <c r="J21" s="7"/>
    </row>
    <row r="22" spans="2:10">
      <c r="B22" t="s">
        <v>209</v>
      </c>
      <c r="I22" s="55"/>
      <c r="J22" s="7"/>
    </row>
    <row r="23" spans="2:10">
      <c r="B23" t="s">
        <v>210</v>
      </c>
      <c r="I23" s="7"/>
      <c r="J23" s="7"/>
    </row>
    <row r="24" spans="2:10">
      <c r="I24" s="7"/>
      <c r="J24" s="55"/>
    </row>
    <row r="25" spans="2:10" ht="7.5" customHeight="1">
      <c r="I25" s="7"/>
      <c r="J25" s="7"/>
    </row>
    <row r="26" spans="2:10">
      <c r="B26" t="s">
        <v>211</v>
      </c>
      <c r="I26" s="7"/>
      <c r="J26" s="55"/>
    </row>
    <row r="27" spans="2:10">
      <c r="I27" s="7"/>
      <c r="J27" s="7"/>
    </row>
    <row r="28" spans="2:10">
      <c r="B28" t="s">
        <v>212</v>
      </c>
      <c r="I28" s="7"/>
      <c r="J28" s="7"/>
    </row>
    <row r="29" spans="2:10">
      <c r="B29" t="s">
        <v>213</v>
      </c>
      <c r="I29" s="7"/>
      <c r="J29" s="7"/>
    </row>
    <row r="30" spans="2:10" ht="15.75" thickBot="1">
      <c r="I30" s="7"/>
      <c r="J30" s="84"/>
    </row>
    <row r="31" spans="2:10" ht="15.75" thickTop="1">
      <c r="B31" t="s">
        <v>214</v>
      </c>
      <c r="I31" s="7"/>
      <c r="J3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04"/>
  <sheetViews>
    <sheetView topLeftCell="A140" zoomScale="110" zoomScaleNormal="110" workbookViewId="0">
      <selection activeCell="H156" sqref="H156"/>
    </sheetView>
  </sheetViews>
  <sheetFormatPr defaultRowHeight="15"/>
  <cols>
    <col min="1" max="1" width="5.140625" customWidth="1"/>
    <col min="2" max="2" width="11" customWidth="1"/>
    <col min="7" max="7" width="16" style="9" bestFit="1" customWidth="1"/>
    <col min="8" max="8" width="15.28515625" style="9" bestFit="1" customWidth="1"/>
    <col min="9" max="9" width="4.140625" style="7" customWidth="1"/>
    <col min="10" max="10" width="6.85546875" style="7" customWidth="1"/>
    <col min="11" max="11" width="11.5703125" bestFit="1" customWidth="1"/>
    <col min="12" max="12" width="12.5703125" style="7" bestFit="1" customWidth="1"/>
    <col min="14" max="14" width="12.5703125" bestFit="1" customWidth="1"/>
    <col min="15" max="15" width="13.28515625" bestFit="1" customWidth="1"/>
  </cols>
  <sheetData>
    <row r="1" spans="1:18" ht="24" thickBot="1">
      <c r="B1" s="208" t="s">
        <v>234</v>
      </c>
      <c r="C1" s="208"/>
      <c r="D1" s="208"/>
      <c r="I1" s="91"/>
    </row>
    <row r="2" spans="1:18" ht="18" thickTop="1">
      <c r="I2" s="91"/>
      <c r="J2" s="79"/>
      <c r="K2" s="28"/>
      <c r="L2" s="79"/>
      <c r="M2" s="28"/>
      <c r="N2" s="96"/>
      <c r="O2" s="96"/>
      <c r="P2" s="28"/>
      <c r="Q2" s="28"/>
      <c r="R2" s="28"/>
    </row>
    <row r="3" spans="1:18" ht="17.25">
      <c r="A3">
        <v>1</v>
      </c>
      <c r="G3" s="191" t="s">
        <v>0</v>
      </c>
      <c r="H3" s="191" t="s">
        <v>1</v>
      </c>
      <c r="I3" s="91"/>
      <c r="J3" s="79"/>
      <c r="K3" s="28"/>
      <c r="L3" s="79"/>
      <c r="M3" s="28"/>
      <c r="N3" s="79"/>
      <c r="O3" s="79"/>
      <c r="P3" s="28"/>
      <c r="Q3" s="28"/>
      <c r="R3" s="28"/>
    </row>
    <row r="4" spans="1:18">
      <c r="B4" s="189" t="s">
        <v>97</v>
      </c>
      <c r="G4" s="9">
        <v>1400010.04</v>
      </c>
      <c r="I4" s="91"/>
      <c r="J4" s="79"/>
      <c r="K4" s="28"/>
      <c r="L4" s="79"/>
      <c r="M4" s="28"/>
      <c r="N4" s="79"/>
      <c r="O4" s="79"/>
      <c r="P4" s="28"/>
      <c r="Q4" s="28"/>
      <c r="R4" s="28"/>
    </row>
    <row r="5" spans="1:18">
      <c r="B5" s="189" t="s">
        <v>63</v>
      </c>
      <c r="G5" s="9">
        <v>27676432.239999998</v>
      </c>
      <c r="I5" s="91"/>
      <c r="J5" s="79"/>
      <c r="K5" s="28"/>
      <c r="L5" s="79"/>
      <c r="M5" s="28"/>
      <c r="N5" s="79"/>
      <c r="O5" s="79"/>
      <c r="P5" s="28"/>
      <c r="Q5" s="28"/>
      <c r="R5" s="28"/>
    </row>
    <row r="6" spans="1:18">
      <c r="B6" s="189" t="s">
        <v>96</v>
      </c>
      <c r="G6" s="9">
        <v>84958087</v>
      </c>
      <c r="I6" s="91"/>
      <c r="J6" s="79"/>
      <c r="K6" s="28"/>
      <c r="L6" s="79"/>
      <c r="M6" s="28"/>
      <c r="N6" s="79"/>
      <c r="O6" s="79"/>
      <c r="P6" s="28"/>
      <c r="Q6" s="28"/>
      <c r="R6" s="28"/>
    </row>
    <row r="7" spans="1:18">
      <c r="B7" s="189" t="s">
        <v>580</v>
      </c>
      <c r="G7" s="9">
        <v>825775.98</v>
      </c>
      <c r="I7" s="91"/>
      <c r="J7" s="79"/>
      <c r="K7" s="28"/>
      <c r="L7" s="79"/>
      <c r="M7" s="28"/>
      <c r="N7" s="79"/>
      <c r="O7" s="79"/>
      <c r="P7" s="28"/>
      <c r="Q7" s="28"/>
      <c r="R7" s="28"/>
    </row>
    <row r="8" spans="1:18">
      <c r="B8" s="189" t="s">
        <v>52</v>
      </c>
      <c r="G8" s="9">
        <v>2995458.25</v>
      </c>
      <c r="I8" s="91"/>
      <c r="J8" s="79"/>
      <c r="K8" s="28"/>
      <c r="L8" s="79"/>
      <c r="M8" s="28"/>
      <c r="N8" s="79"/>
      <c r="O8" s="79"/>
      <c r="P8" s="28"/>
      <c r="Q8" s="28"/>
      <c r="R8" s="28"/>
    </row>
    <row r="9" spans="1:18">
      <c r="B9" s="189" t="s">
        <v>581</v>
      </c>
      <c r="G9" s="9">
        <v>825000</v>
      </c>
      <c r="I9" s="91"/>
      <c r="J9" s="79"/>
      <c r="K9" s="28"/>
      <c r="L9" s="79"/>
      <c r="M9" s="28"/>
      <c r="N9" s="79"/>
      <c r="O9" s="79"/>
      <c r="P9" s="28"/>
      <c r="Q9" s="28"/>
      <c r="R9" s="28"/>
    </row>
    <row r="10" spans="1:18">
      <c r="B10" s="189" t="s">
        <v>583</v>
      </c>
      <c r="G10" s="9">
        <v>14784538</v>
      </c>
      <c r="I10" s="91"/>
      <c r="J10" s="79"/>
      <c r="K10" s="28"/>
      <c r="L10" s="79"/>
      <c r="M10" s="28"/>
      <c r="N10" s="79"/>
      <c r="O10" s="79"/>
      <c r="P10" s="28"/>
      <c r="Q10" s="28"/>
      <c r="R10" s="28"/>
    </row>
    <row r="11" spans="1:18">
      <c r="B11" s="189" t="s">
        <v>590</v>
      </c>
      <c r="G11" s="9">
        <v>204992</v>
      </c>
      <c r="I11" s="91"/>
      <c r="J11" s="79"/>
      <c r="K11" s="28"/>
      <c r="L11" s="79"/>
      <c r="M11" s="28"/>
      <c r="N11" s="79"/>
      <c r="O11" s="79"/>
      <c r="P11" s="28"/>
      <c r="Q11" s="28"/>
      <c r="R11" s="28"/>
    </row>
    <row r="12" spans="1:18">
      <c r="B12" s="189" t="s">
        <v>584</v>
      </c>
      <c r="G12" s="9">
        <v>7843523.4199999999</v>
      </c>
      <c r="I12" s="91"/>
      <c r="J12" s="79"/>
      <c r="K12" s="28"/>
      <c r="L12" s="79"/>
      <c r="M12" s="28"/>
      <c r="N12" s="79"/>
      <c r="O12" s="79"/>
      <c r="P12" s="28"/>
      <c r="Q12" s="28"/>
      <c r="R12" s="28"/>
    </row>
    <row r="13" spans="1:18">
      <c r="B13" s="189" t="s">
        <v>99</v>
      </c>
      <c r="G13" s="9">
        <v>1587492</v>
      </c>
      <c r="I13" s="91"/>
      <c r="J13" s="79"/>
      <c r="K13" s="28"/>
      <c r="L13" s="79"/>
      <c r="M13" s="28"/>
      <c r="N13" s="79"/>
      <c r="O13" s="79"/>
      <c r="P13" s="28"/>
      <c r="Q13" s="28"/>
      <c r="R13" s="28"/>
    </row>
    <row r="14" spans="1:18">
      <c r="B14" s="189" t="s">
        <v>247</v>
      </c>
      <c r="G14" s="9">
        <v>360276.02</v>
      </c>
      <c r="I14" s="91"/>
      <c r="J14" s="79"/>
      <c r="K14" s="28"/>
      <c r="L14" s="79"/>
      <c r="M14" s="28"/>
      <c r="N14" s="79"/>
      <c r="O14" s="79"/>
      <c r="P14" s="28"/>
      <c r="Q14" s="28"/>
      <c r="R14" s="28"/>
    </row>
    <row r="15" spans="1:18">
      <c r="B15" s="189" t="s">
        <v>100</v>
      </c>
      <c r="G15" s="9">
        <v>8039033.5</v>
      </c>
      <c r="I15" s="91"/>
      <c r="J15" s="79"/>
      <c r="K15" s="28"/>
      <c r="L15" s="79"/>
      <c r="M15" s="28"/>
      <c r="N15" s="79"/>
      <c r="O15" s="79"/>
      <c r="P15" s="28"/>
      <c r="Q15" s="28"/>
      <c r="R15" s="28"/>
    </row>
    <row r="16" spans="1:18">
      <c r="B16" s="189" t="s">
        <v>596</v>
      </c>
      <c r="G16" s="9">
        <v>162000</v>
      </c>
      <c r="I16" s="91"/>
      <c r="J16" s="79"/>
      <c r="K16" s="28"/>
      <c r="L16" s="79"/>
      <c r="M16" s="28"/>
      <c r="N16" s="79"/>
      <c r="O16" s="79"/>
      <c r="P16" s="28"/>
      <c r="Q16" s="28"/>
      <c r="R16" s="28"/>
    </row>
    <row r="17" spans="1:18">
      <c r="B17" s="189" t="s">
        <v>285</v>
      </c>
      <c r="G17" s="9">
        <v>2000000</v>
      </c>
      <c r="I17" s="91"/>
      <c r="J17" s="79"/>
      <c r="K17" s="28"/>
      <c r="L17" s="79"/>
      <c r="M17" s="28"/>
      <c r="N17" s="79"/>
      <c r="O17" s="79"/>
      <c r="P17" s="28"/>
      <c r="Q17" s="28"/>
      <c r="R17" s="28"/>
    </row>
    <row r="18" spans="1:18">
      <c r="B18" s="189" t="s">
        <v>586</v>
      </c>
      <c r="G18" s="9">
        <v>155000</v>
      </c>
      <c r="H18" s="41"/>
      <c r="I18" s="91"/>
      <c r="J18" s="79"/>
      <c r="K18" s="28"/>
      <c r="L18" s="79"/>
      <c r="M18" s="28"/>
      <c r="N18" s="79"/>
      <c r="O18" s="79"/>
      <c r="P18" s="28"/>
      <c r="Q18" s="28"/>
      <c r="R18" s="28"/>
    </row>
    <row r="19" spans="1:18">
      <c r="A19" s="28"/>
      <c r="B19" s="189" t="s">
        <v>499</v>
      </c>
      <c r="C19" s="28"/>
      <c r="D19" s="28"/>
      <c r="E19" s="28"/>
      <c r="F19" s="28"/>
      <c r="G19" s="41">
        <v>259642</v>
      </c>
      <c r="H19" s="41"/>
      <c r="I19" s="91"/>
      <c r="J19" s="79"/>
      <c r="K19" s="28"/>
      <c r="L19" s="79"/>
      <c r="M19" s="28"/>
      <c r="N19" s="79"/>
      <c r="O19" s="79"/>
      <c r="P19" s="28"/>
      <c r="Q19" s="28"/>
      <c r="R19" s="28"/>
    </row>
    <row r="20" spans="1:18">
      <c r="A20" s="28"/>
      <c r="B20" s="189" t="s">
        <v>588</v>
      </c>
      <c r="C20" s="28"/>
      <c r="D20" s="28"/>
      <c r="E20" s="28"/>
      <c r="F20" s="28"/>
      <c r="G20" s="41">
        <v>1193685</v>
      </c>
      <c r="H20" s="41"/>
      <c r="I20" s="91"/>
      <c r="J20" s="79"/>
      <c r="K20" s="28"/>
      <c r="L20" s="79"/>
      <c r="M20" s="28"/>
      <c r="N20" s="79"/>
      <c r="O20" s="79"/>
      <c r="P20" s="28"/>
      <c r="Q20" s="28"/>
      <c r="R20" s="28"/>
    </row>
    <row r="21" spans="1:18">
      <c r="A21" s="28"/>
      <c r="B21" s="189" t="s">
        <v>589</v>
      </c>
      <c r="C21" s="28"/>
      <c r="D21" s="28"/>
      <c r="E21" s="28"/>
      <c r="F21" s="28"/>
      <c r="G21" s="41">
        <v>17935000</v>
      </c>
      <c r="H21" s="41"/>
      <c r="I21" s="91"/>
      <c r="J21" s="79"/>
      <c r="K21" s="28"/>
      <c r="L21" s="79"/>
      <c r="M21" s="28"/>
      <c r="N21" s="79"/>
      <c r="O21" s="79"/>
      <c r="P21" s="28"/>
      <c r="Q21" s="28"/>
      <c r="R21" s="28"/>
    </row>
    <row r="22" spans="1:18">
      <c r="A22" s="28"/>
      <c r="B22" s="189" t="s">
        <v>91</v>
      </c>
      <c r="C22" s="28"/>
      <c r="D22" s="28"/>
      <c r="E22" s="28"/>
      <c r="F22" s="28"/>
      <c r="G22" s="41">
        <v>2189166.12</v>
      </c>
      <c r="H22" s="41"/>
      <c r="I22" s="91"/>
      <c r="J22" s="79"/>
      <c r="K22" s="28"/>
      <c r="L22" s="79"/>
      <c r="M22" s="28"/>
      <c r="N22" s="79"/>
      <c r="O22" s="79"/>
      <c r="P22" s="28"/>
      <c r="Q22" s="28"/>
      <c r="R22" s="28"/>
    </row>
    <row r="23" spans="1:18">
      <c r="A23" s="28"/>
      <c r="B23" s="190" t="s">
        <v>478</v>
      </c>
      <c r="C23" s="28"/>
      <c r="D23" s="28"/>
      <c r="E23" s="28"/>
      <c r="F23" s="28"/>
      <c r="G23" s="41">
        <v>30000</v>
      </c>
      <c r="H23" s="41"/>
      <c r="I23" s="91"/>
      <c r="J23" s="79"/>
      <c r="K23" s="28"/>
      <c r="L23" s="79"/>
      <c r="M23" s="28"/>
      <c r="N23" s="79"/>
      <c r="O23" s="79"/>
      <c r="P23" s="28"/>
      <c r="Q23" s="28"/>
      <c r="R23" s="28"/>
    </row>
    <row r="24" spans="1:18">
      <c r="A24" s="28"/>
      <c r="B24" s="190" t="s">
        <v>593</v>
      </c>
      <c r="C24" s="28"/>
      <c r="D24" s="28"/>
      <c r="E24" s="28"/>
      <c r="F24" s="28"/>
      <c r="G24" s="41">
        <v>1811685.75</v>
      </c>
      <c r="H24" s="41"/>
      <c r="I24" s="91"/>
      <c r="J24" s="79"/>
      <c r="K24" s="28"/>
      <c r="L24" s="79"/>
      <c r="M24" s="28"/>
      <c r="N24" s="79"/>
      <c r="O24" s="79"/>
      <c r="P24" s="28"/>
      <c r="Q24" s="28"/>
      <c r="R24" s="28"/>
    </row>
    <row r="25" spans="1:18">
      <c r="A25" s="28"/>
      <c r="B25" s="189" t="s">
        <v>592</v>
      </c>
      <c r="C25" s="28"/>
      <c r="D25" s="28"/>
      <c r="E25" s="28"/>
      <c r="F25" s="28"/>
      <c r="G25" s="41">
        <v>240000</v>
      </c>
      <c r="H25" s="41"/>
      <c r="I25" s="91"/>
      <c r="J25" s="79"/>
      <c r="K25" s="28"/>
      <c r="L25" s="79"/>
      <c r="M25" s="28"/>
      <c r="N25" s="79"/>
      <c r="O25" s="79"/>
      <c r="P25" s="28"/>
      <c r="Q25" s="28"/>
      <c r="R25" s="28"/>
    </row>
    <row r="26" spans="1:18">
      <c r="A26" s="28"/>
      <c r="B26" s="189" t="s">
        <v>248</v>
      </c>
      <c r="C26" s="28"/>
      <c r="D26" s="28"/>
      <c r="E26" s="28"/>
      <c r="F26" s="28"/>
      <c r="G26" s="41">
        <v>339980000</v>
      </c>
      <c r="H26" s="41"/>
      <c r="I26" s="91"/>
      <c r="J26" s="79"/>
      <c r="K26" s="28"/>
      <c r="L26" s="79"/>
      <c r="M26" s="28"/>
      <c r="N26" s="79"/>
      <c r="O26" s="79"/>
      <c r="P26" s="28"/>
      <c r="Q26" s="28"/>
      <c r="R26" s="28"/>
    </row>
    <row r="27" spans="1:18">
      <c r="A27" s="28"/>
      <c r="B27" s="190" t="s">
        <v>594</v>
      </c>
      <c r="C27" s="28"/>
      <c r="D27" s="28"/>
      <c r="E27" s="28"/>
      <c r="F27" s="28"/>
      <c r="G27" s="41">
        <v>280868402.81</v>
      </c>
      <c r="H27" s="41"/>
      <c r="I27" s="91"/>
      <c r="J27" s="79"/>
      <c r="K27" s="28"/>
      <c r="L27" s="79"/>
      <c r="M27" s="28"/>
      <c r="N27" s="79"/>
      <c r="O27" s="79"/>
      <c r="P27" s="28"/>
      <c r="Q27" s="28"/>
      <c r="R27" s="28"/>
    </row>
    <row r="28" spans="1:18">
      <c r="A28" s="28"/>
      <c r="B28" s="190" t="s">
        <v>595</v>
      </c>
      <c r="C28" s="28"/>
      <c r="D28" s="28"/>
      <c r="E28" s="28"/>
      <c r="F28" s="28"/>
      <c r="G28" s="41">
        <v>22515264.859999999</v>
      </c>
      <c r="H28" s="41"/>
      <c r="I28" s="91"/>
      <c r="J28" s="79"/>
      <c r="K28" s="28"/>
      <c r="L28" s="79"/>
      <c r="M28" s="28"/>
      <c r="N28" s="79"/>
      <c r="O28" s="79"/>
      <c r="P28" s="28"/>
      <c r="Q28" s="28"/>
      <c r="R28" s="28"/>
    </row>
    <row r="29" spans="1:18">
      <c r="A29" s="28"/>
      <c r="B29" s="190" t="s">
        <v>192</v>
      </c>
      <c r="C29" s="28"/>
      <c r="D29" s="28"/>
      <c r="E29" s="28"/>
      <c r="F29" s="28"/>
      <c r="G29" s="41"/>
      <c r="H29" s="41">
        <v>820840464.99000001</v>
      </c>
      <c r="I29" s="91"/>
      <c r="J29" s="79"/>
      <c r="K29" s="28"/>
      <c r="L29" s="79"/>
      <c r="M29" s="28"/>
      <c r="N29" s="79"/>
      <c r="O29" s="79"/>
      <c r="P29" s="28"/>
      <c r="Q29" s="28"/>
      <c r="R29" s="28"/>
    </row>
    <row r="30" spans="1:18">
      <c r="A30" s="85" t="s">
        <v>601</v>
      </c>
      <c r="B30" s="194"/>
      <c r="C30" s="85"/>
      <c r="D30" s="85"/>
      <c r="E30" s="85"/>
      <c r="F30" s="85"/>
      <c r="G30" s="193"/>
      <c r="H30" s="193"/>
      <c r="I30" s="91"/>
      <c r="J30" s="79"/>
      <c r="K30" s="28"/>
      <c r="L30" s="79">
        <f>G27+G28+G26-H47</f>
        <v>395307888.29000008</v>
      </c>
      <c r="M30" s="28"/>
      <c r="N30" s="79"/>
      <c r="O30" s="79"/>
      <c r="P30" s="28"/>
      <c r="Q30" s="28"/>
      <c r="R30" s="28"/>
    </row>
    <row r="31" spans="1:18" ht="17.25">
      <c r="A31">
        <v>2</v>
      </c>
      <c r="G31" s="192"/>
      <c r="I31" s="91"/>
      <c r="J31" s="79"/>
      <c r="K31" s="28"/>
      <c r="L31" s="79"/>
      <c r="M31" s="28"/>
      <c r="N31" s="79"/>
      <c r="O31" s="79"/>
      <c r="P31" s="28"/>
      <c r="Q31" s="28"/>
      <c r="R31" s="28"/>
    </row>
    <row r="32" spans="1:18">
      <c r="A32" s="28"/>
      <c r="B32" t="s">
        <v>97</v>
      </c>
      <c r="G32" s="9">
        <v>144475454.38</v>
      </c>
      <c r="H32" s="41"/>
      <c r="I32" s="91"/>
      <c r="J32" s="79"/>
      <c r="K32" s="28"/>
      <c r="L32" s="79"/>
      <c r="M32" s="28"/>
      <c r="N32" s="79"/>
      <c r="O32" s="79"/>
      <c r="P32" s="28"/>
      <c r="Q32" s="28"/>
      <c r="R32" s="28"/>
    </row>
    <row r="33" spans="1:18" ht="17.25">
      <c r="B33" t="s">
        <v>236</v>
      </c>
      <c r="G33" s="9">
        <v>4263309.13</v>
      </c>
      <c r="H33" s="192"/>
      <c r="I33" s="91"/>
      <c r="J33" s="79"/>
      <c r="K33" s="28"/>
      <c r="L33" s="79"/>
      <c r="M33" s="28"/>
      <c r="N33" s="79"/>
      <c r="O33" s="79"/>
      <c r="P33" s="28"/>
      <c r="Q33" s="28"/>
      <c r="R33" s="28"/>
    </row>
    <row r="34" spans="1:18">
      <c r="B34" t="s">
        <v>237</v>
      </c>
      <c r="G34" s="9">
        <v>2929500</v>
      </c>
      <c r="I34" s="91"/>
      <c r="J34" s="79"/>
      <c r="K34" s="28"/>
      <c r="L34" s="79"/>
      <c r="M34" s="28"/>
      <c r="N34" s="79"/>
      <c r="O34" s="79"/>
      <c r="P34" s="28"/>
      <c r="Q34" s="28"/>
      <c r="R34" s="28"/>
    </row>
    <row r="35" spans="1:18">
      <c r="B35" t="s">
        <v>238</v>
      </c>
      <c r="G35" s="9">
        <v>2875410</v>
      </c>
      <c r="I35" s="91"/>
      <c r="J35" s="79"/>
      <c r="K35" s="28"/>
      <c r="L35" s="79"/>
      <c r="M35" s="28"/>
      <c r="N35" s="79"/>
      <c r="O35" s="79"/>
      <c r="P35" s="28"/>
      <c r="Q35" s="28"/>
      <c r="R35" s="28"/>
    </row>
    <row r="36" spans="1:18">
      <c r="B36" t="s">
        <v>239</v>
      </c>
      <c r="G36" s="9">
        <v>1218600</v>
      </c>
      <c r="I36" s="91"/>
      <c r="J36" s="79"/>
      <c r="K36" s="28"/>
      <c r="L36" s="79"/>
      <c r="M36" s="28"/>
      <c r="N36" s="79"/>
      <c r="O36" s="79"/>
      <c r="P36" s="28"/>
      <c r="Q36" s="28"/>
      <c r="R36" s="28"/>
    </row>
    <row r="37" spans="1:18">
      <c r="B37" t="s">
        <v>240</v>
      </c>
      <c r="G37" s="9">
        <v>807450</v>
      </c>
      <c r="I37" s="91"/>
      <c r="J37" s="79"/>
      <c r="K37" s="28"/>
      <c r="L37" s="79"/>
      <c r="M37" s="28"/>
      <c r="N37" s="79"/>
      <c r="O37" s="79"/>
      <c r="P37" s="28"/>
      <c r="Q37" s="28"/>
      <c r="R37" s="28"/>
    </row>
    <row r="38" spans="1:18">
      <c r="B38" t="s">
        <v>241</v>
      </c>
      <c r="G38" s="9">
        <v>1235295</v>
      </c>
      <c r="I38" s="91"/>
      <c r="J38" s="79"/>
      <c r="K38" s="28"/>
      <c r="L38" s="79"/>
      <c r="M38" s="28"/>
      <c r="N38" s="79"/>
      <c r="O38" s="79"/>
      <c r="P38" s="28"/>
      <c r="Q38" s="28"/>
      <c r="R38" s="28"/>
    </row>
    <row r="39" spans="1:18">
      <c r="B39" t="s">
        <v>242</v>
      </c>
      <c r="G39" s="9">
        <v>400000</v>
      </c>
      <c r="I39" s="91"/>
      <c r="J39" s="79"/>
      <c r="K39" s="28"/>
      <c r="L39" s="79"/>
      <c r="M39" s="28"/>
      <c r="N39" s="79"/>
      <c r="O39" s="79"/>
      <c r="P39" s="28"/>
      <c r="Q39" s="28"/>
      <c r="R39" s="28"/>
    </row>
    <row r="40" spans="1:18">
      <c r="B40" t="s">
        <v>98</v>
      </c>
      <c r="G40" s="9">
        <v>264870</v>
      </c>
      <c r="I40" s="91"/>
      <c r="J40" s="79"/>
      <c r="K40" s="28"/>
      <c r="L40" s="79"/>
      <c r="M40" s="28"/>
      <c r="N40" s="79"/>
      <c r="O40" s="79"/>
      <c r="P40" s="28"/>
      <c r="Q40" s="28"/>
      <c r="R40" s="28"/>
    </row>
    <row r="41" spans="1:18">
      <c r="B41" t="s">
        <v>243</v>
      </c>
      <c r="G41" s="9">
        <v>368560</v>
      </c>
      <c r="I41" s="91"/>
      <c r="J41" s="79"/>
      <c r="K41" s="28"/>
      <c r="L41" s="79"/>
      <c r="M41" s="28"/>
      <c r="N41" s="28"/>
      <c r="O41" s="28"/>
      <c r="P41" s="28"/>
      <c r="Q41" s="28"/>
      <c r="R41" s="28"/>
    </row>
    <row r="42" spans="1:18">
      <c r="B42" t="s">
        <v>244</v>
      </c>
      <c r="G42" s="9">
        <v>307462.5</v>
      </c>
      <c r="I42" s="91"/>
      <c r="J42" s="79"/>
      <c r="K42" s="28"/>
      <c r="L42" s="79"/>
      <c r="M42" s="28"/>
      <c r="N42" s="28"/>
      <c r="O42" s="28"/>
      <c r="P42" s="28"/>
      <c r="Q42" s="28"/>
      <c r="R42" s="28"/>
    </row>
    <row r="43" spans="1:18">
      <c r="B43" t="s">
        <v>102</v>
      </c>
      <c r="G43" s="9">
        <v>6208500</v>
      </c>
      <c r="I43" s="91"/>
      <c r="J43" s="79"/>
      <c r="K43" s="28"/>
      <c r="L43" s="79"/>
      <c r="M43" s="28"/>
      <c r="N43" s="28"/>
      <c r="O43" s="28"/>
      <c r="P43" s="28"/>
      <c r="Q43" s="28"/>
      <c r="R43" s="28"/>
    </row>
    <row r="44" spans="1:18">
      <c r="B44" t="s">
        <v>245</v>
      </c>
      <c r="G44" s="9">
        <v>2843268.05</v>
      </c>
      <c r="I44" s="91"/>
      <c r="J44" s="79"/>
      <c r="K44" s="28"/>
      <c r="L44" s="79"/>
      <c r="M44" s="28"/>
      <c r="N44" s="28"/>
      <c r="O44" s="28"/>
      <c r="P44" s="28"/>
      <c r="Q44" s="28"/>
      <c r="R44" s="28"/>
    </row>
    <row r="45" spans="1:18">
      <c r="B45" t="s">
        <v>246</v>
      </c>
      <c r="G45" s="9">
        <v>3116100.32</v>
      </c>
      <c r="I45" s="91"/>
      <c r="J45" s="79"/>
      <c r="K45" s="28"/>
      <c r="L45" s="79"/>
      <c r="M45" s="28"/>
      <c r="N45" s="28"/>
      <c r="O45" s="28"/>
      <c r="P45" s="28"/>
      <c r="Q45" s="28"/>
      <c r="R45" s="28"/>
    </row>
    <row r="46" spans="1:18">
      <c r="B46" t="s">
        <v>51</v>
      </c>
      <c r="G46" s="9">
        <v>76742000</v>
      </c>
      <c r="I46" s="91"/>
      <c r="J46" s="79"/>
      <c r="K46" s="28"/>
      <c r="L46" s="79"/>
      <c r="M46" s="28"/>
      <c r="N46" s="28"/>
      <c r="O46" s="28"/>
      <c r="P46" s="28"/>
      <c r="Q46" s="28"/>
      <c r="R46" s="28"/>
    </row>
    <row r="47" spans="1:18">
      <c r="B47" t="s">
        <v>42</v>
      </c>
      <c r="H47" s="9">
        <v>248055779.38</v>
      </c>
      <c r="I47" s="91"/>
      <c r="J47" s="79"/>
      <c r="K47" s="28"/>
      <c r="L47" s="79"/>
      <c r="M47" s="28"/>
      <c r="N47" s="28"/>
      <c r="O47" s="28"/>
      <c r="P47" s="28"/>
      <c r="Q47" s="28"/>
      <c r="R47" s="28"/>
    </row>
    <row r="48" spans="1:18">
      <c r="A48" s="85" t="s">
        <v>258</v>
      </c>
      <c r="B48" s="85"/>
      <c r="C48" s="85"/>
      <c r="D48" s="85"/>
      <c r="E48" s="85"/>
      <c r="F48" s="85"/>
      <c r="G48" s="193"/>
      <c r="H48" s="193"/>
      <c r="I48" s="91"/>
    </row>
    <row r="49" spans="1:10" ht="17.25">
      <c r="A49">
        <v>3</v>
      </c>
      <c r="G49" s="192"/>
      <c r="I49" s="91"/>
    </row>
    <row r="50" spans="1:10">
      <c r="B50" t="s">
        <v>249</v>
      </c>
      <c r="G50" s="9">
        <f>SUM(H51:H52)</f>
        <v>5924958.25</v>
      </c>
      <c r="H50" s="41"/>
      <c r="I50" s="92"/>
    </row>
    <row r="51" spans="1:10">
      <c r="B51" t="s">
        <v>250</v>
      </c>
      <c r="H51" s="9">
        <v>2995458.25</v>
      </c>
      <c r="I51" s="91"/>
    </row>
    <row r="52" spans="1:10">
      <c r="B52" t="s">
        <v>251</v>
      </c>
      <c r="H52" s="9">
        <v>2929500</v>
      </c>
      <c r="I52" s="91"/>
      <c r="J52" s="79"/>
    </row>
    <row r="53" spans="1:10">
      <c r="A53" s="85" t="s">
        <v>252</v>
      </c>
      <c r="B53" s="85"/>
      <c r="C53" s="85"/>
      <c r="D53" s="85"/>
      <c r="E53" s="85"/>
      <c r="F53" s="85"/>
      <c r="G53" s="193"/>
      <c r="H53" s="193"/>
      <c r="I53" s="91"/>
    </row>
    <row r="54" spans="1:10" ht="17.25">
      <c r="A54">
        <v>4</v>
      </c>
      <c r="G54" s="192"/>
      <c r="I54" s="91"/>
    </row>
    <row r="55" spans="1:10">
      <c r="B55" t="s">
        <v>254</v>
      </c>
      <c r="G55" s="9">
        <f>H57*2/3</f>
        <v>18450954.826666664</v>
      </c>
      <c r="H55" s="41"/>
      <c r="I55" s="91"/>
    </row>
    <row r="56" spans="1:10" ht="17.25">
      <c r="B56" t="s">
        <v>255</v>
      </c>
      <c r="G56" s="9">
        <f>H57*1/3</f>
        <v>9225477.4133333322</v>
      </c>
      <c r="H56" s="192"/>
      <c r="I56" s="91"/>
    </row>
    <row r="57" spans="1:10">
      <c r="B57" t="s">
        <v>299</v>
      </c>
      <c r="H57" s="9">
        <v>27676432.239999998</v>
      </c>
      <c r="I57" s="91"/>
    </row>
    <row r="58" spans="1:10">
      <c r="A58" s="85" t="s">
        <v>253</v>
      </c>
      <c r="B58" s="85"/>
      <c r="C58" s="85"/>
      <c r="D58" s="85"/>
      <c r="E58" s="85"/>
      <c r="F58" s="85"/>
      <c r="G58" s="193"/>
      <c r="H58" s="193"/>
      <c r="I58" s="91"/>
    </row>
    <row r="59" spans="1:10" ht="17.25">
      <c r="A59">
        <v>5</v>
      </c>
      <c r="G59" s="192"/>
      <c r="I59" s="91"/>
    </row>
    <row r="60" spans="1:10">
      <c r="B60" t="s">
        <v>249</v>
      </c>
      <c r="G60" s="9">
        <v>70098000</v>
      </c>
      <c r="H60" s="41"/>
      <c r="I60" s="91"/>
    </row>
    <row r="61" spans="1:10" ht="17.25">
      <c r="B61" t="s">
        <v>256</v>
      </c>
      <c r="G61" s="9">
        <v>6644000</v>
      </c>
      <c r="H61" s="192"/>
      <c r="I61" s="91"/>
    </row>
    <row r="62" spans="1:10">
      <c r="B62" t="s">
        <v>291</v>
      </c>
      <c r="H62" s="9">
        <v>76742000</v>
      </c>
      <c r="I62" s="91"/>
    </row>
    <row r="63" spans="1:10">
      <c r="A63" s="85" t="s">
        <v>259</v>
      </c>
      <c r="B63" s="85"/>
      <c r="C63" s="85"/>
      <c r="D63" s="85"/>
      <c r="E63" s="85"/>
      <c r="F63" s="85"/>
      <c r="G63" s="193"/>
      <c r="H63" s="193"/>
      <c r="I63" s="91"/>
    </row>
    <row r="64" spans="1:10" ht="17.25">
      <c r="A64">
        <v>6</v>
      </c>
      <c r="G64" s="192"/>
      <c r="I64" s="91"/>
    </row>
    <row r="65" spans="1:9">
      <c r="B65" t="s">
        <v>249</v>
      </c>
      <c r="G65" s="9">
        <f>SUM(H66:H67)</f>
        <v>20810410</v>
      </c>
      <c r="H65" s="41"/>
      <c r="I65" s="91"/>
    </row>
    <row r="66" spans="1:9">
      <c r="B66" t="s">
        <v>260</v>
      </c>
      <c r="H66" s="9">
        <v>17935000</v>
      </c>
      <c r="I66" s="91"/>
    </row>
    <row r="67" spans="1:9">
      <c r="B67" t="s">
        <v>261</v>
      </c>
      <c r="H67" s="9">
        <v>2875410</v>
      </c>
      <c r="I67" s="91"/>
    </row>
    <row r="68" spans="1:9">
      <c r="A68" s="85" t="s">
        <v>262</v>
      </c>
      <c r="B68" s="85"/>
      <c r="C68" s="85"/>
      <c r="D68" s="85"/>
      <c r="E68" s="85"/>
      <c r="F68" s="85"/>
      <c r="G68" s="193"/>
      <c r="H68" s="193"/>
      <c r="I68" s="91"/>
    </row>
    <row r="69" spans="1:9" ht="17.25">
      <c r="A69">
        <v>7</v>
      </c>
      <c r="G69" s="192"/>
      <c r="I69" s="91"/>
    </row>
    <row r="70" spans="1:9">
      <c r="B70" t="s">
        <v>249</v>
      </c>
      <c r="G70" s="9">
        <f>SUM(H71:H72)</f>
        <v>5456994.1299999999</v>
      </c>
      <c r="H70" s="41"/>
      <c r="I70" s="91"/>
    </row>
    <row r="71" spans="1:9">
      <c r="B71" t="s">
        <v>602</v>
      </c>
      <c r="H71" s="9">
        <v>1193685</v>
      </c>
      <c r="I71" s="91"/>
    </row>
    <row r="72" spans="1:9">
      <c r="B72" t="s">
        <v>300</v>
      </c>
      <c r="H72" s="9">
        <v>4263309.13</v>
      </c>
      <c r="I72" s="91"/>
    </row>
    <row r="73" spans="1:9">
      <c r="A73" s="85" t="s">
        <v>263</v>
      </c>
      <c r="B73" s="85"/>
      <c r="C73" s="85"/>
      <c r="D73" s="85"/>
      <c r="E73" s="85"/>
      <c r="F73" s="85"/>
      <c r="G73" s="193"/>
      <c r="H73" s="193"/>
      <c r="I73" s="91"/>
    </row>
    <row r="74" spans="1:9" ht="17.25">
      <c r="A74">
        <v>8</v>
      </c>
      <c r="G74" s="192"/>
      <c r="I74" s="91"/>
    </row>
    <row r="75" spans="1:9">
      <c r="B75" t="s">
        <v>249</v>
      </c>
      <c r="G75" s="9">
        <f>SUM(H76:H77)</f>
        <v>145875464.41999999</v>
      </c>
      <c r="H75" s="41"/>
      <c r="I75" s="91"/>
    </row>
    <row r="76" spans="1:9">
      <c r="B76" t="s">
        <v>264</v>
      </c>
      <c r="H76" s="9">
        <v>1400010.04</v>
      </c>
      <c r="I76" s="91"/>
    </row>
    <row r="77" spans="1:9">
      <c r="B77" t="s">
        <v>265</v>
      </c>
      <c r="H77" s="9">
        <v>144475454.38</v>
      </c>
      <c r="I77" s="91"/>
    </row>
    <row r="78" spans="1:9">
      <c r="A78" s="85" t="s">
        <v>266</v>
      </c>
      <c r="B78" s="85"/>
      <c r="C78" s="85"/>
      <c r="D78" s="85"/>
      <c r="E78" s="85"/>
      <c r="F78" s="85"/>
      <c r="G78" s="193"/>
      <c r="H78" s="193"/>
      <c r="I78" s="91"/>
    </row>
    <row r="79" spans="1:9" ht="17.25">
      <c r="A79">
        <v>9</v>
      </c>
      <c r="G79" s="192"/>
      <c r="I79" s="91"/>
    </row>
    <row r="80" spans="1:9">
      <c r="B80" t="s">
        <v>249</v>
      </c>
      <c r="G80" s="9">
        <f>H81</f>
        <v>2189166.12</v>
      </c>
      <c r="H80" s="41"/>
      <c r="I80" s="91"/>
    </row>
    <row r="81" spans="1:9">
      <c r="B81" t="s">
        <v>301</v>
      </c>
      <c r="H81" s="9">
        <v>2189166.12</v>
      </c>
      <c r="I81" s="91"/>
    </row>
    <row r="82" spans="1:9">
      <c r="A82" s="85" t="s">
        <v>267</v>
      </c>
      <c r="B82" s="85"/>
      <c r="C82" s="85"/>
      <c r="D82" s="85"/>
      <c r="E82" s="85"/>
      <c r="F82" s="85"/>
      <c r="G82" s="193"/>
      <c r="H82" s="193"/>
      <c r="I82" s="91"/>
    </row>
    <row r="83" spans="1:9" ht="17.25">
      <c r="A83">
        <v>10</v>
      </c>
      <c r="G83" s="192"/>
      <c r="I83" s="91"/>
    </row>
    <row r="84" spans="1:9">
      <c r="B84" t="s">
        <v>249</v>
      </c>
      <c r="G84" s="9">
        <v>1218600</v>
      </c>
      <c r="I84" s="91"/>
    </row>
    <row r="85" spans="1:9">
      <c r="B85" t="s">
        <v>302</v>
      </c>
      <c r="H85" s="9">
        <v>1218600</v>
      </c>
      <c r="I85" s="91"/>
    </row>
    <row r="86" spans="1:9">
      <c r="A86" s="85" t="s">
        <v>271</v>
      </c>
      <c r="B86" s="85"/>
      <c r="C86" s="85"/>
      <c r="D86" s="85"/>
      <c r="E86" s="85"/>
      <c r="F86" s="85"/>
      <c r="G86" s="193"/>
      <c r="H86" s="193"/>
      <c r="I86" s="91"/>
    </row>
    <row r="87" spans="1:9">
      <c r="A87">
        <v>11</v>
      </c>
      <c r="I87" s="91"/>
    </row>
    <row r="88" spans="1:9">
      <c r="B88" t="s">
        <v>249</v>
      </c>
      <c r="G88" s="9">
        <f>SUM(H89:H90)</f>
        <v>1632450</v>
      </c>
      <c r="I88" s="91"/>
    </row>
    <row r="89" spans="1:9">
      <c r="B89" t="s">
        <v>269</v>
      </c>
      <c r="H89" s="9">
        <v>825000</v>
      </c>
      <c r="I89" s="91"/>
    </row>
    <row r="90" spans="1:9">
      <c r="B90" t="s">
        <v>268</v>
      </c>
      <c r="H90" s="9">
        <v>807450</v>
      </c>
      <c r="I90" s="91"/>
    </row>
    <row r="91" spans="1:9">
      <c r="A91" s="85" t="s">
        <v>270</v>
      </c>
      <c r="B91" s="85"/>
      <c r="C91" s="85"/>
      <c r="D91" s="85"/>
      <c r="E91" s="85"/>
      <c r="F91" s="85"/>
      <c r="G91" s="193"/>
      <c r="H91" s="193"/>
      <c r="I91" s="91"/>
    </row>
    <row r="92" spans="1:9">
      <c r="A92">
        <v>12</v>
      </c>
      <c r="I92" s="91"/>
    </row>
    <row r="93" spans="1:9">
      <c r="B93" t="s">
        <v>249</v>
      </c>
      <c r="G93" s="9">
        <f>SUM(H94:H95)</f>
        <v>1225775.98</v>
      </c>
      <c r="I93" s="91"/>
    </row>
    <row r="94" spans="1:9">
      <c r="B94" t="s">
        <v>603</v>
      </c>
      <c r="H94" s="9">
        <v>825775.98</v>
      </c>
      <c r="I94" s="91"/>
    </row>
    <row r="95" spans="1:9">
      <c r="B95" t="s">
        <v>303</v>
      </c>
      <c r="H95" s="9">
        <v>400000</v>
      </c>
      <c r="I95" s="91"/>
    </row>
    <row r="96" spans="1:9">
      <c r="A96" s="85" t="s">
        <v>272</v>
      </c>
      <c r="B96" s="85"/>
      <c r="C96" s="85"/>
      <c r="D96" s="85"/>
      <c r="E96" s="85"/>
      <c r="F96" s="85"/>
      <c r="G96" s="193"/>
      <c r="H96" s="193"/>
      <c r="I96" s="91"/>
    </row>
    <row r="97" spans="1:9">
      <c r="A97">
        <v>13</v>
      </c>
      <c r="I97" s="91"/>
    </row>
    <row r="98" spans="1:9">
      <c r="B98" t="s">
        <v>249</v>
      </c>
      <c r="G98" s="9">
        <f>SUM(H99:H100)</f>
        <v>16019833</v>
      </c>
      <c r="I98" s="91"/>
    </row>
    <row r="99" spans="1:9">
      <c r="B99" t="s">
        <v>273</v>
      </c>
      <c r="H99" s="9">
        <v>14784538</v>
      </c>
      <c r="I99" s="91"/>
    </row>
    <row r="100" spans="1:9">
      <c r="B100" t="s">
        <v>274</v>
      </c>
      <c r="H100" s="9">
        <v>1235295</v>
      </c>
      <c r="I100" s="91"/>
    </row>
    <row r="101" spans="1:9">
      <c r="A101" s="85" t="s">
        <v>275</v>
      </c>
      <c r="B101" s="85"/>
      <c r="C101" s="85"/>
      <c r="D101" s="85"/>
      <c r="E101" s="85"/>
      <c r="F101" s="85"/>
      <c r="G101" s="193"/>
      <c r="H101" s="193"/>
      <c r="I101" s="91"/>
    </row>
    <row r="102" spans="1:9">
      <c r="A102">
        <v>14</v>
      </c>
      <c r="I102" s="91"/>
    </row>
    <row r="103" spans="1:9">
      <c r="B103" t="s">
        <v>249</v>
      </c>
      <c r="G103" s="9">
        <f>H104</f>
        <v>84958087</v>
      </c>
      <c r="I103" s="91"/>
    </row>
    <row r="104" spans="1:9">
      <c r="B104" t="s">
        <v>304</v>
      </c>
      <c r="H104" s="9">
        <v>84958087</v>
      </c>
      <c r="I104" s="91"/>
    </row>
    <row r="105" spans="1:9">
      <c r="A105" s="85" t="s">
        <v>276</v>
      </c>
      <c r="B105" s="85"/>
      <c r="C105" s="85"/>
      <c r="D105" s="85"/>
      <c r="E105" s="85"/>
      <c r="F105" s="85"/>
      <c r="G105" s="193"/>
      <c r="H105" s="193"/>
      <c r="I105" s="91"/>
    </row>
    <row r="106" spans="1:9">
      <c r="A106">
        <v>15</v>
      </c>
      <c r="I106" s="91"/>
    </row>
    <row r="107" spans="1:9">
      <c r="B107" t="s">
        <v>249</v>
      </c>
      <c r="G107" s="9">
        <f>SUM(H108:H109)</f>
        <v>469862</v>
      </c>
      <c r="I107" s="91"/>
    </row>
    <row r="108" spans="1:9">
      <c r="B108" t="s">
        <v>605</v>
      </c>
      <c r="H108" s="9">
        <v>204992</v>
      </c>
      <c r="I108" s="91"/>
    </row>
    <row r="109" spans="1:9">
      <c r="B109" t="s">
        <v>604</v>
      </c>
      <c r="H109" s="9">
        <v>264870</v>
      </c>
      <c r="I109" s="91"/>
    </row>
    <row r="110" spans="1:9">
      <c r="A110" s="85" t="s">
        <v>277</v>
      </c>
      <c r="B110" s="85"/>
      <c r="C110" s="85"/>
      <c r="D110" s="85"/>
      <c r="E110" s="85"/>
      <c r="F110" s="85"/>
      <c r="G110" s="193"/>
      <c r="H110" s="193"/>
      <c r="I110" s="91"/>
    </row>
    <row r="111" spans="1:9">
      <c r="A111">
        <v>16</v>
      </c>
      <c r="I111" s="91"/>
    </row>
    <row r="112" spans="1:9">
      <c r="B112" t="s">
        <v>249</v>
      </c>
      <c r="G112" s="9">
        <v>368560</v>
      </c>
      <c r="I112" s="91"/>
    </row>
    <row r="113" spans="1:9">
      <c r="B113" t="s">
        <v>305</v>
      </c>
      <c r="H113" s="9">
        <v>368560</v>
      </c>
      <c r="I113" s="91"/>
    </row>
    <row r="114" spans="1:9">
      <c r="A114" s="85" t="s">
        <v>278</v>
      </c>
      <c r="B114" s="85"/>
      <c r="C114" s="85"/>
      <c r="D114" s="85"/>
      <c r="E114" s="85"/>
      <c r="F114" s="85"/>
      <c r="G114" s="193"/>
      <c r="H114" s="193"/>
      <c r="I114" s="91"/>
    </row>
    <row r="115" spans="1:9">
      <c r="A115">
        <v>17</v>
      </c>
      <c r="I115" s="91"/>
    </row>
    <row r="116" spans="1:9">
      <c r="B116" t="s">
        <v>249</v>
      </c>
      <c r="G116" s="9">
        <f>SUM(H117:H118)</f>
        <v>469462.5</v>
      </c>
      <c r="I116" s="91"/>
    </row>
    <row r="117" spans="1:9">
      <c r="B117" t="s">
        <v>280</v>
      </c>
      <c r="H117" s="9">
        <v>162000</v>
      </c>
      <c r="I117" s="91"/>
    </row>
    <row r="118" spans="1:9">
      <c r="B118" t="s">
        <v>279</v>
      </c>
      <c r="H118" s="9">
        <v>307462.5</v>
      </c>
      <c r="I118" s="91"/>
    </row>
    <row r="119" spans="1:9">
      <c r="A119" s="85" t="s">
        <v>281</v>
      </c>
      <c r="B119" s="85"/>
      <c r="C119" s="85"/>
      <c r="D119" s="85"/>
      <c r="E119" s="85"/>
      <c r="F119" s="85"/>
      <c r="G119" s="193"/>
      <c r="H119" s="193"/>
      <c r="I119" s="91"/>
    </row>
    <row r="120" spans="1:9">
      <c r="A120">
        <v>18</v>
      </c>
      <c r="I120" s="91"/>
    </row>
    <row r="121" spans="1:9">
      <c r="B121" t="s">
        <v>249</v>
      </c>
      <c r="G121" s="9">
        <f>H122</f>
        <v>30000</v>
      </c>
      <c r="I121" s="91"/>
    </row>
    <row r="122" spans="1:9">
      <c r="B122" t="s">
        <v>306</v>
      </c>
      <c r="H122" s="9">
        <v>30000</v>
      </c>
      <c r="I122" s="91"/>
    </row>
    <row r="123" spans="1:9">
      <c r="A123" s="85" t="s">
        <v>282</v>
      </c>
      <c r="B123" s="85"/>
      <c r="C123" s="85"/>
      <c r="D123" s="85"/>
      <c r="E123" s="85"/>
      <c r="F123" s="85"/>
      <c r="G123" s="193"/>
      <c r="H123" s="193"/>
      <c r="I123" s="91"/>
    </row>
    <row r="124" spans="1:9">
      <c r="A124">
        <v>19</v>
      </c>
      <c r="I124" s="91"/>
    </row>
    <row r="125" spans="1:9">
      <c r="B125" t="s">
        <v>249</v>
      </c>
      <c r="G125" s="9">
        <v>6208500</v>
      </c>
      <c r="I125" s="91"/>
    </row>
    <row r="126" spans="1:9">
      <c r="B126" t="s">
        <v>307</v>
      </c>
      <c r="H126" s="9">
        <v>6208500</v>
      </c>
      <c r="I126" s="91"/>
    </row>
    <row r="127" spans="1:9">
      <c r="A127" s="85" t="s">
        <v>283</v>
      </c>
      <c r="B127" s="85"/>
      <c r="C127" s="85"/>
      <c r="D127" s="85"/>
      <c r="E127" s="85"/>
      <c r="F127" s="85"/>
      <c r="G127" s="193"/>
      <c r="H127" s="193"/>
      <c r="I127" s="91"/>
    </row>
    <row r="128" spans="1:9">
      <c r="A128">
        <v>20</v>
      </c>
      <c r="I128" s="91"/>
    </row>
    <row r="129" spans="1:9">
      <c r="B129" t="s">
        <v>249</v>
      </c>
      <c r="G129" s="9">
        <v>2843268.05</v>
      </c>
      <c r="I129" s="91"/>
    </row>
    <row r="130" spans="1:9">
      <c r="B130" t="s">
        <v>308</v>
      </c>
      <c r="H130" s="9">
        <v>2843268.05</v>
      </c>
      <c r="I130" s="91"/>
    </row>
    <row r="131" spans="1:9">
      <c r="A131" s="85" t="s">
        <v>284</v>
      </c>
      <c r="B131" s="85"/>
      <c r="C131" s="85"/>
      <c r="D131" s="85"/>
      <c r="E131" s="85"/>
      <c r="F131" s="85"/>
      <c r="G131" s="193"/>
      <c r="H131" s="193"/>
      <c r="I131" s="91"/>
    </row>
    <row r="132" spans="1:9">
      <c r="A132">
        <v>21</v>
      </c>
      <c r="I132" s="91"/>
    </row>
    <row r="133" spans="1:9">
      <c r="B133" t="s">
        <v>249</v>
      </c>
      <c r="G133" s="9">
        <v>2000000</v>
      </c>
      <c r="I133" s="91"/>
    </row>
    <row r="134" spans="1:9">
      <c r="B134" t="s">
        <v>309</v>
      </c>
      <c r="H134" s="9">
        <v>2000000</v>
      </c>
      <c r="I134" s="91"/>
    </row>
    <row r="135" spans="1:9">
      <c r="A135" s="85" t="s">
        <v>286</v>
      </c>
      <c r="B135" s="85"/>
      <c r="C135" s="85"/>
      <c r="D135" s="85"/>
      <c r="E135" s="85"/>
      <c r="F135" s="85"/>
      <c r="G135" s="193"/>
      <c r="H135" s="193"/>
      <c r="I135" s="91"/>
    </row>
    <row r="136" spans="1:9">
      <c r="A136">
        <v>22</v>
      </c>
      <c r="I136" s="91"/>
    </row>
    <row r="137" spans="1:9">
      <c r="B137" t="s">
        <v>249</v>
      </c>
      <c r="G137" s="9">
        <v>155000</v>
      </c>
      <c r="I137" s="91"/>
    </row>
    <row r="138" spans="1:9">
      <c r="B138" t="s">
        <v>310</v>
      </c>
      <c r="H138" s="9">
        <v>155000</v>
      </c>
      <c r="I138" s="91"/>
    </row>
    <row r="139" spans="1:9">
      <c r="A139" s="85" t="s">
        <v>287</v>
      </c>
      <c r="B139" s="85"/>
      <c r="C139" s="85"/>
      <c r="D139" s="85"/>
      <c r="E139" s="85"/>
      <c r="F139" s="85"/>
      <c r="G139" s="193"/>
      <c r="H139" s="193"/>
      <c r="I139" s="91"/>
    </row>
    <row r="140" spans="1:9">
      <c r="A140">
        <v>23</v>
      </c>
      <c r="I140" s="91"/>
    </row>
    <row r="141" spans="1:9">
      <c r="B141" t="s">
        <v>249</v>
      </c>
      <c r="G141" s="9">
        <f>H142</f>
        <v>259642</v>
      </c>
      <c r="I141" s="91"/>
    </row>
    <row r="142" spans="1:9">
      <c r="B142" t="s">
        <v>311</v>
      </c>
      <c r="H142" s="9">
        <v>259642</v>
      </c>
      <c r="I142" s="91"/>
    </row>
    <row r="143" spans="1:9">
      <c r="A143" s="85" t="s">
        <v>288</v>
      </c>
      <c r="B143" s="85"/>
      <c r="C143" s="85"/>
      <c r="D143" s="85"/>
      <c r="E143" s="85"/>
      <c r="F143" s="85"/>
      <c r="G143" s="193"/>
      <c r="H143" s="193"/>
      <c r="I143" s="91"/>
    </row>
    <row r="144" spans="1:9">
      <c r="A144">
        <v>24</v>
      </c>
      <c r="I144" s="91"/>
    </row>
    <row r="145" spans="1:9">
      <c r="B145" t="s">
        <v>606</v>
      </c>
      <c r="G145" s="9">
        <f>SUM(H146:H147)</f>
        <v>4927786.07</v>
      </c>
      <c r="I145" s="91"/>
    </row>
    <row r="146" spans="1:9">
      <c r="B146" t="s">
        <v>42</v>
      </c>
      <c r="H146" s="9">
        <v>3116100.32</v>
      </c>
      <c r="I146" s="91"/>
    </row>
    <row r="147" spans="1:9">
      <c r="B147" t="s">
        <v>192</v>
      </c>
      <c r="H147" s="9">
        <v>1811685.75</v>
      </c>
      <c r="I147" s="91"/>
    </row>
    <row r="148" spans="1:9">
      <c r="A148" s="85" t="s">
        <v>607</v>
      </c>
      <c r="B148" s="85"/>
      <c r="C148" s="85"/>
      <c r="D148" s="85"/>
      <c r="E148" s="85"/>
      <c r="F148" s="85"/>
      <c r="G148" s="193"/>
      <c r="H148" s="193"/>
      <c r="I148" s="91"/>
    </row>
    <row r="149" spans="1:9">
      <c r="A149">
        <v>25</v>
      </c>
      <c r="I149" s="91"/>
    </row>
    <row r="150" spans="1:9">
      <c r="B150" t="s">
        <v>249</v>
      </c>
      <c r="G150" s="9">
        <f>H151</f>
        <v>360276.02</v>
      </c>
      <c r="I150" s="91"/>
    </row>
    <row r="151" spans="1:9">
      <c r="B151" t="s">
        <v>318</v>
      </c>
      <c r="H151" s="9">
        <v>360276.02</v>
      </c>
      <c r="I151" s="91"/>
    </row>
    <row r="152" spans="1:9">
      <c r="A152" s="85" t="s">
        <v>319</v>
      </c>
      <c r="B152" s="85"/>
      <c r="C152" s="85"/>
      <c r="D152" s="85"/>
      <c r="E152" s="85"/>
      <c r="F152" s="85"/>
      <c r="G152" s="193"/>
      <c r="H152" s="193"/>
      <c r="I152" s="91"/>
    </row>
    <row r="153" spans="1:9">
      <c r="A153" s="7">
        <v>26</v>
      </c>
      <c r="B153" t="s">
        <v>289</v>
      </c>
      <c r="C153" s="7"/>
      <c r="G153" s="9">
        <f>SUM(H154:H157)</f>
        <v>411177366.29000002</v>
      </c>
      <c r="I153" s="94"/>
    </row>
    <row r="154" spans="1:9">
      <c r="A154" s="7"/>
      <c r="B154" t="s">
        <v>290</v>
      </c>
      <c r="C154" s="7"/>
      <c r="H154" s="9">
        <v>9225478</v>
      </c>
      <c r="I154" s="94"/>
    </row>
    <row r="155" spans="1:9">
      <c r="A155" s="7"/>
      <c r="B155" t="s">
        <v>291</v>
      </c>
      <c r="C155" s="7"/>
      <c r="H155" s="9">
        <v>6644000</v>
      </c>
      <c r="I155" s="94"/>
    </row>
    <row r="156" spans="1:9">
      <c r="A156" s="7"/>
      <c r="B156" t="s">
        <v>248</v>
      </c>
      <c r="C156" s="7"/>
      <c r="H156" s="9">
        <v>91924220.620000005</v>
      </c>
      <c r="I156" s="94"/>
    </row>
    <row r="157" spans="1:9">
      <c r="A157" s="7"/>
      <c r="B157" t="s">
        <v>316</v>
      </c>
      <c r="C157" s="7"/>
      <c r="H157" s="9">
        <f>280868402.81+22515264.86</f>
        <v>303383667.67000002</v>
      </c>
      <c r="I157" s="94"/>
    </row>
    <row r="158" spans="1:9">
      <c r="A158" s="85" t="s">
        <v>292</v>
      </c>
      <c r="B158" s="85"/>
      <c r="C158" s="55"/>
      <c r="D158" s="85"/>
      <c r="E158" s="85"/>
      <c r="F158" s="85"/>
      <c r="G158" s="193"/>
      <c r="H158" s="193"/>
      <c r="I158" s="94"/>
    </row>
    <row r="159" spans="1:9">
      <c r="A159" s="7"/>
      <c r="C159" s="7"/>
      <c r="I159" s="94"/>
    </row>
    <row r="160" spans="1:9">
      <c r="A160" s="7">
        <v>27</v>
      </c>
      <c r="B160" t="s">
        <v>293</v>
      </c>
      <c r="C160" s="7"/>
      <c r="G160" s="9">
        <f>SUM(H161:H164)</f>
        <v>4712797</v>
      </c>
      <c r="I160" s="94"/>
    </row>
    <row r="161" spans="1:9">
      <c r="A161" s="7"/>
      <c r="B161" t="s">
        <v>294</v>
      </c>
      <c r="C161" s="7"/>
      <c r="H161" s="9">
        <v>2849069</v>
      </c>
      <c r="I161" s="94"/>
    </row>
    <row r="162" spans="1:9">
      <c r="A162" s="7"/>
      <c r="B162" t="s">
        <v>295</v>
      </c>
      <c r="C162" s="7"/>
      <c r="H162" s="9">
        <v>748557</v>
      </c>
      <c r="I162" s="94"/>
    </row>
    <row r="163" spans="1:9">
      <c r="A163" s="7"/>
      <c r="B163" t="s">
        <v>296</v>
      </c>
      <c r="C163" s="7"/>
      <c r="H163" s="9">
        <v>739169</v>
      </c>
      <c r="I163" s="94"/>
    </row>
    <row r="164" spans="1:9">
      <c r="A164" s="7"/>
      <c r="B164" t="s">
        <v>297</v>
      </c>
      <c r="C164" s="7"/>
      <c r="H164" s="9">
        <v>376002</v>
      </c>
      <c r="I164" s="94"/>
    </row>
    <row r="165" spans="1:9">
      <c r="A165" s="85" t="s">
        <v>298</v>
      </c>
      <c r="B165" s="85"/>
      <c r="C165" s="55"/>
      <c r="D165" s="85"/>
      <c r="E165" s="85"/>
      <c r="F165" s="85"/>
      <c r="G165" s="193"/>
      <c r="H165" s="193"/>
      <c r="I165" s="94"/>
    </row>
    <row r="166" spans="1:9">
      <c r="A166" s="7"/>
      <c r="C166" s="7"/>
      <c r="I166" s="94"/>
    </row>
    <row r="167" spans="1:9">
      <c r="A167" s="7">
        <v>28</v>
      </c>
      <c r="B167" t="s">
        <v>608</v>
      </c>
      <c r="C167" s="7"/>
      <c r="G167" s="9">
        <v>248055779</v>
      </c>
      <c r="I167" s="94"/>
    </row>
    <row r="168" spans="1:9">
      <c r="A168" s="7"/>
      <c r="B168" t="s">
        <v>312</v>
      </c>
      <c r="C168" s="7"/>
      <c r="G168" s="9">
        <f>H169-G167</f>
        <v>91924221</v>
      </c>
      <c r="I168" s="94"/>
    </row>
    <row r="169" spans="1:9">
      <c r="A169" s="7"/>
      <c r="B169" t="s">
        <v>248</v>
      </c>
      <c r="C169" s="7"/>
      <c r="H169" s="9">
        <v>339980000</v>
      </c>
      <c r="I169" s="94"/>
    </row>
    <row r="170" spans="1:9">
      <c r="A170" s="85" t="s">
        <v>313</v>
      </c>
      <c r="B170" s="85"/>
      <c r="C170" s="55"/>
      <c r="D170" s="85"/>
      <c r="E170" s="85"/>
      <c r="F170" s="85"/>
      <c r="G170" s="193"/>
      <c r="H170" s="193"/>
      <c r="I170" s="95"/>
    </row>
    <row r="171" spans="1:9">
      <c r="A171" s="7"/>
      <c r="C171" s="7"/>
      <c r="I171" s="94"/>
    </row>
    <row r="172" spans="1:9">
      <c r="A172" s="7">
        <v>29</v>
      </c>
      <c r="B172" t="s">
        <v>314</v>
      </c>
      <c r="C172" s="7"/>
      <c r="G172" s="9">
        <f>SUM(H173:H174)</f>
        <v>303383667.67000002</v>
      </c>
      <c r="I172" s="94"/>
    </row>
    <row r="173" spans="1:9">
      <c r="A173" s="7"/>
      <c r="B173" t="s">
        <v>610</v>
      </c>
      <c r="C173" s="7"/>
      <c r="H173" s="9">
        <v>280868402.81</v>
      </c>
      <c r="I173" s="94"/>
    </row>
    <row r="174" spans="1:9">
      <c r="A174" s="7"/>
      <c r="B174" t="s">
        <v>611</v>
      </c>
      <c r="C174" s="7"/>
      <c r="H174" s="9">
        <v>22515264.859999999</v>
      </c>
      <c r="I174" s="94"/>
    </row>
    <row r="175" spans="1:9">
      <c r="A175" s="85" t="s">
        <v>315</v>
      </c>
      <c r="B175" s="85"/>
      <c r="C175" s="55"/>
      <c r="D175" s="85"/>
      <c r="E175" s="85"/>
      <c r="F175" s="85"/>
      <c r="G175" s="193"/>
      <c r="H175" s="193"/>
      <c r="I175" s="94"/>
    </row>
    <row r="176" spans="1:9">
      <c r="A176" s="7">
        <v>30</v>
      </c>
      <c r="C176" s="7"/>
      <c r="I176" s="94"/>
    </row>
    <row r="177" spans="1:9">
      <c r="A177" s="7"/>
      <c r="B177" t="s">
        <v>249</v>
      </c>
      <c r="C177" s="7"/>
      <c r="G177" s="9">
        <v>8039032.5</v>
      </c>
      <c r="I177" s="94"/>
    </row>
    <row r="178" spans="1:9">
      <c r="A178" s="7"/>
      <c r="B178" t="s">
        <v>609</v>
      </c>
      <c r="C178" s="7"/>
      <c r="H178" s="9">
        <v>8039033.5</v>
      </c>
      <c r="I178" s="94"/>
    </row>
    <row r="179" spans="1:9">
      <c r="A179" s="85" t="s">
        <v>320</v>
      </c>
      <c r="B179" s="85"/>
      <c r="C179" s="55"/>
      <c r="D179" s="85"/>
      <c r="E179" s="85"/>
      <c r="F179" s="85"/>
      <c r="G179" s="193"/>
      <c r="H179" s="193"/>
      <c r="I179" s="94"/>
    </row>
    <row r="180" spans="1:9">
      <c r="A180" s="7">
        <v>31</v>
      </c>
      <c r="C180" s="7"/>
      <c r="I180" s="94"/>
    </row>
    <row r="181" spans="1:9">
      <c r="A181" s="7"/>
      <c r="B181" t="s">
        <v>249</v>
      </c>
      <c r="C181" s="7"/>
      <c r="G181" s="9">
        <f>H182</f>
        <v>1587492</v>
      </c>
      <c r="I181" s="94"/>
    </row>
    <row r="182" spans="1:9">
      <c r="A182" s="7"/>
      <c r="B182" t="s">
        <v>612</v>
      </c>
      <c r="C182" s="7"/>
      <c r="H182" s="9">
        <v>1587492</v>
      </c>
      <c r="I182" s="94"/>
    </row>
    <row r="183" spans="1:9">
      <c r="A183" s="85" t="s">
        <v>325</v>
      </c>
      <c r="B183" s="85"/>
      <c r="C183" s="55"/>
      <c r="D183" s="85"/>
      <c r="E183" s="85"/>
      <c r="F183" s="85"/>
      <c r="G183" s="193"/>
      <c r="H183" s="193"/>
      <c r="I183" s="94"/>
    </row>
    <row r="184" spans="1:9">
      <c r="A184">
        <v>32</v>
      </c>
      <c r="I184" s="91"/>
    </row>
    <row r="185" spans="1:9">
      <c r="B185" t="s">
        <v>249</v>
      </c>
      <c r="G185" s="9">
        <f>H186</f>
        <v>240000</v>
      </c>
      <c r="I185" s="91"/>
    </row>
    <row r="186" spans="1:9">
      <c r="B186" t="s">
        <v>613</v>
      </c>
      <c r="H186" s="9">
        <v>240000</v>
      </c>
      <c r="I186" s="91"/>
    </row>
    <row r="187" spans="1:9">
      <c r="A187" s="85" t="s">
        <v>614</v>
      </c>
      <c r="B187" s="85"/>
      <c r="C187" s="85"/>
      <c r="D187" s="85"/>
      <c r="E187" s="85"/>
      <c r="F187" s="85"/>
      <c r="G187" s="193"/>
      <c r="H187" s="193"/>
      <c r="I187" s="91"/>
    </row>
    <row r="188" spans="1:9">
      <c r="A188">
        <v>33</v>
      </c>
      <c r="I188" s="91"/>
    </row>
    <row r="189" spans="1:9">
      <c r="B189" t="s">
        <v>329</v>
      </c>
      <c r="G189" s="9">
        <v>215411</v>
      </c>
      <c r="I189" s="91"/>
    </row>
    <row r="190" spans="1:9">
      <c r="B190" t="s">
        <v>328</v>
      </c>
      <c r="H190" s="9">
        <v>215411</v>
      </c>
      <c r="I190" s="91"/>
    </row>
    <row r="191" spans="1:9">
      <c r="A191" s="85" t="s">
        <v>327</v>
      </c>
      <c r="B191" s="85"/>
      <c r="C191" s="85"/>
      <c r="D191" s="85"/>
      <c r="E191" s="85"/>
      <c r="F191" s="85"/>
      <c r="G191" s="193"/>
      <c r="H191" s="193"/>
      <c r="I191" s="91"/>
    </row>
    <row r="192" spans="1:9">
      <c r="A192">
        <v>34</v>
      </c>
      <c r="I192" s="91"/>
    </row>
    <row r="193" spans="1:11">
      <c r="B193" t="s">
        <v>334</v>
      </c>
      <c r="G193" s="9">
        <v>1034878</v>
      </c>
      <c r="I193" s="91"/>
    </row>
    <row r="194" spans="1:11">
      <c r="B194" t="s">
        <v>330</v>
      </c>
      <c r="H194" s="9">
        <v>1034878</v>
      </c>
      <c r="I194" s="91"/>
    </row>
    <row r="195" spans="1:11">
      <c r="A195" s="85" t="s">
        <v>331</v>
      </c>
      <c r="B195" s="85"/>
      <c r="C195" s="85"/>
      <c r="D195" s="85"/>
      <c r="E195" s="85"/>
      <c r="F195" s="85"/>
      <c r="G195" s="193"/>
      <c r="H195" s="193"/>
      <c r="I195" s="91"/>
    </row>
    <row r="196" spans="1:11">
      <c r="A196">
        <v>35</v>
      </c>
      <c r="I196" s="91"/>
    </row>
    <row r="197" spans="1:11">
      <c r="B197" t="s">
        <v>334</v>
      </c>
      <c r="G197" s="9">
        <v>186976</v>
      </c>
      <c r="I197" s="91"/>
    </row>
    <row r="198" spans="1:11">
      <c r="B198" t="s">
        <v>332</v>
      </c>
      <c r="H198" s="9">
        <v>186976</v>
      </c>
      <c r="I198" s="91"/>
    </row>
    <row r="199" spans="1:11">
      <c r="A199" s="85" t="s">
        <v>333</v>
      </c>
      <c r="B199" s="85"/>
      <c r="C199" s="85"/>
      <c r="D199" s="85"/>
      <c r="E199" s="85"/>
      <c r="F199" s="85"/>
      <c r="G199" s="193"/>
      <c r="H199" s="193"/>
      <c r="I199" s="91"/>
    </row>
    <row r="200" spans="1:11">
      <c r="A200">
        <v>36</v>
      </c>
      <c r="I200" s="91"/>
    </row>
    <row r="201" spans="1:11">
      <c r="B201" t="s">
        <v>416</v>
      </c>
      <c r="G201" s="9">
        <v>13716367</v>
      </c>
      <c r="I201" s="91"/>
    </row>
    <row r="202" spans="1:11">
      <c r="B202" t="s">
        <v>417</v>
      </c>
      <c r="H202" s="9">
        <v>33352</v>
      </c>
      <c r="I202" s="91"/>
      <c r="K202" s="57"/>
    </row>
    <row r="203" spans="1:11">
      <c r="B203" t="s">
        <v>415</v>
      </c>
      <c r="H203" s="9">
        <v>13683014.52</v>
      </c>
      <c r="I203" s="91"/>
    </row>
    <row r="204" spans="1:11">
      <c r="A204" s="85" t="s">
        <v>418</v>
      </c>
      <c r="B204" s="85"/>
      <c r="C204" s="85"/>
      <c r="D204" s="85"/>
      <c r="E204" s="85"/>
      <c r="F204" s="85"/>
      <c r="G204" s="193"/>
      <c r="H204" s="193"/>
      <c r="I204" s="91"/>
    </row>
  </sheetData>
  <mergeCells count="1">
    <mergeCell ref="B1:D1"/>
  </mergeCells>
  <printOptions gridLines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Trial Balance</vt:lpstr>
      <vt:lpstr>Sales Summary</vt:lpstr>
      <vt:lpstr>P&amp;L Acct</vt:lpstr>
      <vt:lpstr>Notes</vt:lpstr>
      <vt:lpstr>Balance Sheet</vt:lpstr>
      <vt:lpstr>cashflow Stmt</vt:lpstr>
      <vt:lpstr>Value Added Stmt</vt:lpstr>
      <vt:lpstr>Computation of Tax</vt:lpstr>
      <vt:lpstr>Audit Journal</vt:lpstr>
      <vt:lpstr>Extended TB</vt:lpstr>
      <vt:lpstr>Salaries analysis</vt:lpstr>
      <vt:lpstr>Capital all comp</vt:lpstr>
      <vt:lpstr>Bank deposit</vt:lpstr>
      <vt:lpstr>Bank withdrawals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</cp:lastModifiedBy>
  <cp:lastPrinted>2016-03-10T11:00:54Z</cp:lastPrinted>
  <dcterms:created xsi:type="dcterms:W3CDTF">2016-01-25T15:01:38Z</dcterms:created>
  <dcterms:modified xsi:type="dcterms:W3CDTF">2016-03-12T12:07:39Z</dcterms:modified>
</cp:coreProperties>
</file>